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adminideco.sharepoint.com/sites/Ideco-Paris/Documents partages/Commun/Dossier Public/DOCK &amp; BAY/2026/"/>
    </mc:Choice>
  </mc:AlternateContent>
  <xr:revisionPtr revIDLastSave="188" documentId="13_ncr:1_{295CB872-C966-4AFE-AA7D-AEB37CFFAD1E}" xr6:coauthVersionLast="47" xr6:coauthVersionMax="47" xr10:uidLastSave="{A0F13AA4-F1A0-423D-BACC-FEBB284EA3C8}"/>
  <bookViews>
    <workbookView xWindow="-108" yWindow="-108" windowWidth="41496" windowHeight="16896" activeTab="5" xr2:uid="{00000000-000D-0000-FFFF-FFFF00000000}"/>
  </bookViews>
  <sheets>
    <sheet name="VOYAGE" sheetId="8" r:id="rId1"/>
    <sheet name="MAISON" sheetId="3" r:id="rId2"/>
    <sheet name="ENFANTS" sheetId="2" r:id="rId3"/>
    <sheet name="CHIENS" sheetId="5" r:id="rId4"/>
    <sheet name="SPORT" sheetId="4" r:id="rId5"/>
    <sheet name="DISPLA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4" l="1"/>
  <c r="J15" i="5"/>
  <c r="J42" i="2"/>
  <c r="J53" i="3"/>
  <c r="J162" i="8"/>
  <c r="J50" i="8"/>
  <c r="J51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C32" i="8"/>
  <c r="J32" i="8"/>
  <c r="C33" i="8"/>
  <c r="J33" i="8"/>
  <c r="C34" i="8"/>
  <c r="J34" i="8"/>
  <c r="C35" i="8"/>
  <c r="J35" i="8"/>
  <c r="C36" i="8"/>
  <c r="J36" i="8"/>
  <c r="C37" i="8"/>
  <c r="J37" i="8"/>
  <c r="C38" i="8"/>
  <c r="J38" i="8"/>
  <c r="C39" i="8"/>
  <c r="J39" i="8"/>
  <c r="B40" i="8"/>
  <c r="C40" i="8"/>
  <c r="J40" i="8"/>
  <c r="B41" i="8"/>
  <c r="C41" i="8"/>
  <c r="J41" i="8"/>
  <c r="B42" i="8"/>
  <c r="C42" i="8"/>
  <c r="J42" i="8"/>
  <c r="B43" i="8"/>
  <c r="C43" i="8"/>
  <c r="J43" i="8"/>
  <c r="B44" i="8"/>
  <c r="C44" i="8"/>
  <c r="J44" i="8"/>
  <c r="B45" i="8"/>
  <c r="J45" i="8"/>
  <c r="J46" i="8"/>
  <c r="J47" i="8"/>
  <c r="J48" i="8"/>
  <c r="J49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7" i="8"/>
  <c r="J78" i="8"/>
  <c r="C80" i="8"/>
  <c r="J80" i="8"/>
  <c r="C81" i="8"/>
  <c r="J81" i="8"/>
  <c r="J83" i="8"/>
  <c r="C84" i="8"/>
  <c r="J84" i="8"/>
  <c r="C85" i="8"/>
  <c r="J85" i="8"/>
  <c r="J87" i="8"/>
  <c r="J88" i="8"/>
  <c r="J90" i="8"/>
  <c r="J91" i="8"/>
  <c r="J92" i="8"/>
  <c r="J93" i="8"/>
  <c r="J94" i="8"/>
  <c r="J95" i="8"/>
  <c r="C96" i="8"/>
  <c r="J96" i="8"/>
  <c r="C97" i="8"/>
  <c r="J97" i="8"/>
  <c r="C98" i="8"/>
  <c r="J98" i="8"/>
  <c r="C99" i="8"/>
  <c r="J99" i="8"/>
  <c r="C100" i="8"/>
  <c r="J100" i="8"/>
  <c r="C101" i="8"/>
  <c r="J101" i="8"/>
  <c r="C102" i="8"/>
  <c r="J102" i="8"/>
  <c r="C103" i="8"/>
  <c r="J103" i="8"/>
  <c r="C104" i="8"/>
  <c r="J104" i="8"/>
  <c r="C105" i="8"/>
  <c r="J105" i="8"/>
  <c r="J107" i="8"/>
  <c r="J108" i="8"/>
  <c r="C109" i="8"/>
  <c r="J109" i="8"/>
  <c r="J110" i="8"/>
  <c r="J111" i="8"/>
  <c r="B112" i="8"/>
  <c r="C112" i="8"/>
  <c r="J112" i="8"/>
  <c r="J113" i="8"/>
  <c r="J114" i="8"/>
  <c r="J115" i="8"/>
  <c r="J116" i="8"/>
  <c r="C117" i="8"/>
  <c r="J117" i="8"/>
  <c r="C118" i="8"/>
  <c r="J118" i="8"/>
  <c r="C119" i="8"/>
  <c r="J119" i="8"/>
  <c r="C120" i="8"/>
  <c r="J120" i="8"/>
  <c r="J121" i="8"/>
  <c r="J122" i="8"/>
  <c r="J123" i="8"/>
  <c r="J124" i="8"/>
  <c r="C125" i="8"/>
  <c r="J125" i="8"/>
  <c r="C126" i="8"/>
  <c r="J126" i="8"/>
  <c r="J128" i="8"/>
  <c r="J129" i="8"/>
  <c r="J130" i="8"/>
  <c r="B131" i="8"/>
  <c r="C131" i="8"/>
  <c r="J131" i="8"/>
  <c r="C132" i="8"/>
  <c r="J132" i="8"/>
  <c r="C133" i="8"/>
  <c r="J133" i="8"/>
  <c r="C134" i="8"/>
  <c r="J134" i="8"/>
  <c r="C135" i="8"/>
  <c r="J135" i="8"/>
  <c r="C136" i="8"/>
  <c r="J136" i="8"/>
  <c r="C137" i="8"/>
  <c r="J137" i="8"/>
  <c r="C138" i="8"/>
  <c r="J138" i="8"/>
  <c r="C140" i="8"/>
  <c r="J140" i="8"/>
  <c r="C141" i="8"/>
  <c r="J141" i="8"/>
  <c r="C142" i="8"/>
  <c r="J142" i="8"/>
  <c r="J144" i="8"/>
  <c r="C145" i="8"/>
  <c r="J145" i="8"/>
  <c r="C146" i="8"/>
  <c r="J146" i="8"/>
  <c r="C148" i="8"/>
  <c r="J148" i="8"/>
  <c r="C149" i="8"/>
  <c r="J149" i="8"/>
  <c r="C150" i="8"/>
  <c r="J150" i="8"/>
  <c r="J151" i="8"/>
  <c r="C152" i="8"/>
  <c r="J152" i="8"/>
  <c r="C153" i="8"/>
  <c r="J153" i="8"/>
  <c r="C154" i="8"/>
  <c r="J154" i="8"/>
  <c r="C155" i="8"/>
  <c r="J155" i="8"/>
  <c r="C156" i="8"/>
  <c r="J156" i="8"/>
  <c r="C158" i="8"/>
  <c r="J158" i="8"/>
  <c r="C159" i="8"/>
  <c r="J159" i="8"/>
  <c r="C160" i="8"/>
  <c r="J160" i="8"/>
  <c r="C161" i="8"/>
  <c r="J161" i="8"/>
  <c r="C22" i="3"/>
  <c r="C14" i="5"/>
  <c r="C13" i="5"/>
  <c r="C12" i="5"/>
  <c r="C11" i="5"/>
  <c r="C10" i="5"/>
  <c r="C9" i="5"/>
  <c r="C8" i="5"/>
  <c r="C7" i="5"/>
  <c r="C6" i="5"/>
  <c r="C5" i="5"/>
  <c r="C4" i="5"/>
  <c r="C3" i="5"/>
  <c r="J12" i="5"/>
  <c r="J11" i="5"/>
  <c r="J35" i="3"/>
  <c r="C35" i="3"/>
  <c r="J34" i="3"/>
  <c r="C34" i="3"/>
  <c r="C24" i="3"/>
  <c r="C32" i="3"/>
  <c r="C31" i="3"/>
  <c r="C30" i="3"/>
  <c r="C29" i="3"/>
  <c r="C28" i="3"/>
  <c r="C27" i="3"/>
  <c r="C26" i="3"/>
  <c r="C25" i="3"/>
  <c r="C21" i="3"/>
  <c r="C8" i="3"/>
  <c r="C7" i="3"/>
  <c r="C6" i="3"/>
  <c r="C5" i="3"/>
  <c r="C4" i="3"/>
  <c r="C3" i="3"/>
  <c r="J8" i="3"/>
  <c r="J7" i="3"/>
  <c r="J6" i="3"/>
  <c r="J5" i="3"/>
  <c r="J4" i="3"/>
  <c r="J3" i="3"/>
  <c r="C19" i="3"/>
  <c r="C18" i="3"/>
  <c r="C16" i="3"/>
  <c r="C15" i="3"/>
  <c r="C14" i="3"/>
  <c r="C13" i="3"/>
  <c r="C12" i="3"/>
  <c r="C11" i="3"/>
  <c r="C10" i="3"/>
  <c r="C9" i="3"/>
  <c r="J13" i="3"/>
  <c r="C52" i="3"/>
  <c r="C51" i="3"/>
  <c r="C50" i="3"/>
  <c r="C49" i="3"/>
  <c r="C48" i="3"/>
  <c r="C47" i="3"/>
  <c r="C46" i="3"/>
  <c r="J52" i="3"/>
  <c r="J51" i="3"/>
  <c r="J50" i="3"/>
  <c r="J49" i="3"/>
  <c r="J48" i="3"/>
  <c r="J47" i="3"/>
  <c r="J46" i="3"/>
  <c r="C45" i="3"/>
  <c r="C44" i="3"/>
  <c r="C43" i="3"/>
  <c r="C42" i="3"/>
  <c r="C41" i="3"/>
  <c r="C40" i="3"/>
  <c r="C39" i="3"/>
  <c r="C38" i="3"/>
  <c r="C37" i="3"/>
  <c r="J45" i="3"/>
  <c r="J44" i="3"/>
  <c r="C41" i="2"/>
  <c r="C40" i="2"/>
  <c r="C39" i="2"/>
  <c r="C38" i="2"/>
  <c r="C37" i="2"/>
  <c r="C36" i="2"/>
  <c r="C35" i="2"/>
  <c r="C34" i="2"/>
  <c r="C33" i="2"/>
  <c r="C32" i="2"/>
  <c r="J41" i="2"/>
  <c r="J40" i="2"/>
  <c r="C12" i="2"/>
  <c r="C11" i="2"/>
  <c r="C10" i="2"/>
  <c r="C9" i="2"/>
  <c r="C8" i="2"/>
  <c r="C7" i="2"/>
  <c r="C6" i="2"/>
  <c r="C5" i="2"/>
  <c r="C4" i="2"/>
  <c r="C3" i="2"/>
  <c r="J20" i="4"/>
  <c r="C20" i="4"/>
  <c r="B20" i="4"/>
  <c r="J19" i="4"/>
  <c r="C19" i="4"/>
  <c r="B19" i="4"/>
  <c r="J18" i="4"/>
  <c r="J17" i="4"/>
  <c r="J16" i="4"/>
  <c r="J14" i="4"/>
  <c r="J13" i="4"/>
  <c r="J12" i="4"/>
  <c r="J11" i="4"/>
  <c r="J10" i="4"/>
  <c r="J9" i="4"/>
  <c r="J8" i="4"/>
  <c r="J7" i="4"/>
  <c r="J6" i="4"/>
  <c r="J5" i="4"/>
  <c r="J4" i="4"/>
  <c r="J3" i="4"/>
  <c r="J14" i="5"/>
  <c r="J13" i="5"/>
  <c r="J10" i="5"/>
  <c r="J9" i="5"/>
  <c r="J8" i="5"/>
  <c r="J7" i="5"/>
  <c r="J6" i="5"/>
  <c r="J5" i="5"/>
  <c r="J4" i="5"/>
  <c r="J3" i="5"/>
  <c r="J39" i="2"/>
  <c r="J38" i="2"/>
  <c r="J37" i="2"/>
  <c r="J36" i="2"/>
  <c r="J35" i="2"/>
  <c r="J34" i="2"/>
  <c r="J33" i="2"/>
  <c r="J32" i="2"/>
  <c r="J31" i="2"/>
  <c r="J30" i="2"/>
  <c r="C30" i="2"/>
  <c r="B30" i="2"/>
  <c r="J29" i="2"/>
  <c r="J28" i="2"/>
  <c r="J27" i="2"/>
  <c r="J26" i="2"/>
  <c r="J25" i="2"/>
  <c r="J24" i="2"/>
  <c r="J23" i="2"/>
  <c r="J22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43" i="3"/>
  <c r="J42" i="3"/>
  <c r="J41" i="3"/>
  <c r="J40" i="3"/>
  <c r="J39" i="3"/>
  <c r="J38" i="3"/>
  <c r="J37" i="3"/>
  <c r="J32" i="3"/>
  <c r="J31" i="3"/>
  <c r="J30" i="3"/>
  <c r="J29" i="3"/>
  <c r="J28" i="3"/>
  <c r="J27" i="3"/>
  <c r="J26" i="3"/>
  <c r="J25" i="3"/>
  <c r="J24" i="3"/>
  <c r="J22" i="3"/>
  <c r="J21" i="3"/>
  <c r="J19" i="3"/>
  <c r="J18" i="3"/>
  <c r="J16" i="3"/>
  <c r="J15" i="3"/>
  <c r="J14" i="3"/>
  <c r="J12" i="3"/>
  <c r="J11" i="3"/>
  <c r="J10" i="3"/>
  <c r="J9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</futureMetadata>
  <valueMetadata count="3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</valueMetadata>
</metadata>
</file>

<file path=xl/sharedStrings.xml><?xml version="1.0" encoding="utf-8"?>
<sst xmlns="http://schemas.openxmlformats.org/spreadsheetml/2006/main" count="912" uniqueCount="492">
  <si>
    <t>REFERENCE PRODUIT</t>
  </si>
  <si>
    <t>EAN</t>
  </si>
  <si>
    <t>COULEUR</t>
  </si>
  <si>
    <t>DIMENSIONS</t>
  </si>
  <si>
    <t>PA</t>
  </si>
  <si>
    <t>PV</t>
  </si>
  <si>
    <t>QUANTITE</t>
  </si>
  <si>
    <t>TOTAL</t>
  </si>
  <si>
    <t>CABANA</t>
  </si>
  <si>
    <t>ACCES AUX PHOTOS : https://media.dockandbay.com/</t>
  </si>
  <si>
    <t>TOWLB-CAB-LG-BLACK-R</t>
  </si>
  <si>
    <t>5060668830895</t>
  </si>
  <si>
    <t xml:space="preserve">  Kamari Charcoal </t>
  </si>
  <si>
    <t>L (160x90cm)</t>
  </si>
  <si>
    <t>CONDITIONS COMMERCIALES</t>
  </si>
  <si>
    <t>TOWLB-CAB-XL-BLACK-R</t>
  </si>
  <si>
    <t>5060668831038</t>
  </si>
  <si>
    <t>XL (200x90cm)</t>
  </si>
  <si>
    <t>MIN implantation 400€ min rea 300€ + 40€ de frais de port</t>
  </si>
  <si>
    <t>TOWLB-CAB-LG-BLUE-R</t>
  </si>
  <si>
    <t>5060668830901</t>
  </si>
  <si>
    <t xml:space="preserve">  Bondi Blue </t>
  </si>
  <si>
    <t>FRANCO 700€</t>
  </si>
  <si>
    <t xml:space="preserve"> PROFORMA / Délai de livraison 6 jours</t>
  </si>
  <si>
    <t>TOWLB-CAB-XL-BLUE-R</t>
  </si>
  <si>
    <t>5060668831045</t>
  </si>
  <si>
    <t>TOWLB-CAB-LG-NAVY-R</t>
  </si>
  <si>
    <t>5060668830918</t>
  </si>
  <si>
    <t xml:space="preserve">  Whitsunday Blue </t>
  </si>
  <si>
    <t>BOUTIQUE</t>
  </si>
  <si>
    <t>TOWLB-CAB-XL-NAVY-R</t>
  </si>
  <si>
    <t>5060668831052</t>
  </si>
  <si>
    <t>ADRESSE LIVRAISON/ facturation</t>
  </si>
  <si>
    <t>TOWLB-CAB-LG-GREEN-R</t>
  </si>
  <si>
    <t>5060668830925</t>
  </si>
  <si>
    <t xml:space="preserve">  Cancun Green </t>
  </si>
  <si>
    <t>CODE POSTAL</t>
  </si>
  <si>
    <t>TOWLB-CAB-XL-GREEN-R</t>
  </si>
  <si>
    <t>5060668831069</t>
  </si>
  <si>
    <t>NOM/PRENOM</t>
  </si>
  <si>
    <t>TOWLB-CAB-LG-KHAKI-R</t>
  </si>
  <si>
    <t>5060668833421</t>
  </si>
  <si>
    <t xml:space="preserve">  Cayman Khaki </t>
  </si>
  <si>
    <t>MAIL</t>
  </si>
  <si>
    <t>TOWLB-CAB-XL-KHAKI-R</t>
  </si>
  <si>
    <t>5060668833469</t>
  </si>
  <si>
    <t>TEL</t>
  </si>
  <si>
    <t>TOWLB-CAB-LG-LTBGE-R</t>
  </si>
  <si>
    <t>5060668830932</t>
  </si>
  <si>
    <t xml:space="preserve">  Bora Bora Beige </t>
  </si>
  <si>
    <t>TVA</t>
  </si>
  <si>
    <t>TOWLB-CAB-XL-LTBGE-R</t>
  </si>
  <si>
    <t>5060668831076</t>
  </si>
  <si>
    <t>TOWLB-CAB-LG-LTBLU-R</t>
  </si>
  <si>
    <t>5060668830949</t>
  </si>
  <si>
    <t xml:space="preserve">  Tulum Blue </t>
  </si>
  <si>
    <t>TOWLB-CAB-XL-LTBLU-R</t>
  </si>
  <si>
    <t>5060668831083</t>
  </si>
  <si>
    <t>TOWLB-CAB-LG-LTGRY-R</t>
  </si>
  <si>
    <t>5060668830963</t>
  </si>
  <si>
    <t xml:space="preserve">  Goa Grey </t>
  </si>
  <si>
    <t>TOWLB-CAB-XL-LTGRY-R</t>
  </si>
  <si>
    <t>5060668831106</t>
  </si>
  <si>
    <t>TOWLB-CAB-LG-LTPNK-R</t>
  </si>
  <si>
    <t>5060668833407</t>
  </si>
  <si>
    <t xml:space="preserve">  Malibu Pink </t>
  </si>
  <si>
    <t>TOWLB-CAB-XL-LTPNK-R</t>
  </si>
  <si>
    <t>5060668833445</t>
  </si>
  <si>
    <t>TOWLB-CAB-LG-LTPPL-R</t>
  </si>
  <si>
    <t>5060668833414</t>
  </si>
  <si>
    <t xml:space="preserve">  Lombok Lilac </t>
  </si>
  <si>
    <t>TOWLB-CAB-XL-LTPPL-R</t>
  </si>
  <si>
    <t>5060668833452</t>
  </si>
  <si>
    <t>TOWLB-CAB-LG-ORANG-R</t>
  </si>
  <si>
    <t>5060668830987</t>
  </si>
  <si>
    <t xml:space="preserve">  Ipanema Orange </t>
  </si>
  <si>
    <t>TOWLB-CAB-XL-ORANG-R</t>
  </si>
  <si>
    <t>5060668831120</t>
  </si>
  <si>
    <t>TOWLB-CAB-LG-PINK-R</t>
  </si>
  <si>
    <t>5060668830994</t>
  </si>
  <si>
    <t xml:space="preserve">  Phi Phi Pink </t>
  </si>
  <si>
    <t>TOWLB-CAB-XL-PINK-R</t>
  </si>
  <si>
    <t>5060668831137</t>
  </si>
  <si>
    <t>TOWLB-CAB-LG-RED-R</t>
  </si>
  <si>
    <t>5060668831014</t>
  </si>
  <si>
    <t xml:space="preserve">  Waikiki Coral </t>
  </si>
  <si>
    <t>TOWLB-CAB-XL-RED-R</t>
  </si>
  <si>
    <t>5060668831151</t>
  </si>
  <si>
    <t>TOWLB-CAB-LG-YELL-R</t>
  </si>
  <si>
    <t>5060668831021</t>
  </si>
  <si>
    <t xml:space="preserve">  Boracay Yellow </t>
  </si>
  <si>
    <t>TOWLB-CAB-XL-YELL-R</t>
  </si>
  <si>
    <t>5060668831168</t>
  </si>
  <si>
    <t>SUMMER</t>
  </si>
  <si>
    <t>COASTAL CANDY</t>
  </si>
  <si>
    <t>MIAMI SORBET</t>
  </si>
  <si>
    <t>COOL LAGOON</t>
  </si>
  <si>
    <t>TOWLB-SUM-LG-UNICN-R</t>
  </si>
  <si>
    <t>5060668831311</t>
  </si>
  <si>
    <t>TOWLB-DES-LG-GRECSHR</t>
  </si>
  <si>
    <t>XXL</t>
  </si>
  <si>
    <t>XXL (200x180cm)</t>
  </si>
  <si>
    <t>TOWLB-SUM-X2-UNICN</t>
  </si>
  <si>
    <t>5060668833902</t>
  </si>
  <si>
    <t>Unicorn</t>
  </si>
  <si>
    <t>TOWLB-CAB-X2-LTPNK</t>
  </si>
  <si>
    <t>5060668839034</t>
  </si>
  <si>
    <t>Malibu Pink</t>
  </si>
  <si>
    <t>PICNIC</t>
  </si>
  <si>
    <t>PICNIC-SUM-LG-UNICN</t>
  </si>
  <si>
    <t>5061011621627</t>
  </si>
  <si>
    <t>L (170x170cm)</t>
  </si>
  <si>
    <t>PICNIC-SUM-XL-UNICN</t>
  </si>
  <si>
    <t>5061011621634</t>
  </si>
  <si>
    <t>XL (240x170cm)</t>
  </si>
  <si>
    <t>PICNIC-CAB-LG-NAVY</t>
  </si>
  <si>
    <t>Whitsunday Blue</t>
  </si>
  <si>
    <t>PICNIC-CAB-XL-NAVY</t>
  </si>
  <si>
    <t>PICNIC-DES-LG-CANDSTR</t>
  </si>
  <si>
    <t>5061011624116</t>
  </si>
  <si>
    <t>CANDY STRIPES</t>
  </si>
  <si>
    <t>PICNIC-DES-XL-CANDSTR</t>
  </si>
  <si>
    <t>5061011624161</t>
  </si>
  <si>
    <t xml:space="preserve">PONCHOS </t>
  </si>
  <si>
    <t>M 99x70cm</t>
  </si>
  <si>
    <t>L 105x85cm</t>
  </si>
  <si>
    <t>XL 120x95cm</t>
  </si>
  <si>
    <t>5060668831526</t>
  </si>
  <si>
    <t xml:space="preserve"> Bondi Blue </t>
  </si>
  <si>
    <t>5060668832059</t>
  </si>
  <si>
    <t>Unicorn Waves</t>
  </si>
  <si>
    <t>PONCHA-SUM-MD-CSTCANDY</t>
  </si>
  <si>
    <t>5061011623669</t>
  </si>
  <si>
    <t>PONCHA-SUM-LG-CSTCANDY</t>
  </si>
  <si>
    <t>5061011623737</t>
  </si>
  <si>
    <t>PONCHA-SUM-MD-LAZRIV</t>
  </si>
  <si>
    <t>5061011623676</t>
  </si>
  <si>
    <t>LAZY RIVER</t>
  </si>
  <si>
    <t>PONCHA-SUM-LG-LAZRIV</t>
  </si>
  <si>
    <t>5061011623744</t>
  </si>
  <si>
    <t xml:space="preserve">COUSSIN </t>
  </si>
  <si>
    <t>BALLAST-CAB-NAVY</t>
  </si>
  <si>
    <t>WHITSUNDAY BLUE</t>
  </si>
  <si>
    <t>27 x 35 x 10cm</t>
  </si>
  <si>
    <t>BALLAST-SUM-MIAMI</t>
  </si>
  <si>
    <t>SAC PLIABLE</t>
  </si>
  <si>
    <t>BAGF-CAB-MD-LTPNK</t>
  </si>
  <si>
    <t>39x58,7cm</t>
  </si>
  <si>
    <t>BAGF-CAB-MD-NAVY</t>
  </si>
  <si>
    <t>BAGF-SUM-MD-UNICN</t>
  </si>
  <si>
    <t>SAC ISOTHERME</t>
  </si>
  <si>
    <t>BAGCOOL-MD-NAVY</t>
  </si>
  <si>
    <t>NAVY</t>
  </si>
  <si>
    <t>33 x 37 x 20cm</t>
  </si>
  <si>
    <t>SAC DE PLAGE</t>
  </si>
  <si>
    <t>35 x 40 x 15cm</t>
  </si>
  <si>
    <t>BAGBCH-MD-NAVY</t>
  </si>
  <si>
    <t>SAC ETANCHE</t>
  </si>
  <si>
    <t>BAGDRY-XS-NAVY</t>
  </si>
  <si>
    <t>25 x 13cm</t>
  </si>
  <si>
    <t>BAGDRY-MD-NAVY</t>
  </si>
  <si>
    <t>61.5 x 23cm</t>
  </si>
  <si>
    <t>REFERENCE</t>
  </si>
  <si>
    <t>MONTANT</t>
  </si>
  <si>
    <t>SERVIETTE A CHEVEUX</t>
  </si>
  <si>
    <t>One size</t>
  </si>
  <si>
    <t>Serviette à cheveux TISSU GAUFRE</t>
  </si>
  <si>
    <t xml:space="preserve"> 3 Pack (12x10cm)</t>
  </si>
  <si>
    <t xml:space="preserve"> Hand (85x40cm)</t>
  </si>
  <si>
    <t xml:space="preserve"> L (160x70cm)</t>
  </si>
  <si>
    <t>XL (180x90cm)</t>
  </si>
  <si>
    <t>TORCHONS CUISINE</t>
  </si>
  <si>
    <t>75x45cm</t>
  </si>
  <si>
    <t>SERVIETTE DE VOYAGE</t>
  </si>
  <si>
    <t>M (130x70cm)</t>
  </si>
  <si>
    <t>TOWLB-SUM-MD-UNICN</t>
  </si>
  <si>
    <t>5060668835432</t>
  </si>
  <si>
    <t xml:space="preserve"> Kids Unicorn Waves</t>
  </si>
  <si>
    <t xml:space="preserve">Unicorn Waves </t>
  </si>
  <si>
    <t>PONCHO</t>
  </si>
  <si>
    <t>PONCHK-CAB-SM-BLUE-NS</t>
  </si>
  <si>
    <t>5061011621290</t>
  </si>
  <si>
    <t>3-5 ans (66x49cm)</t>
  </si>
  <si>
    <t>6-10 ans (75x55cm)</t>
  </si>
  <si>
    <t>PONCHK-CAB-SM-LTPNK-NS</t>
  </si>
  <si>
    <t>5061011621665</t>
  </si>
  <si>
    <t>PONCHK-CAB-SM-NAVY-NS</t>
  </si>
  <si>
    <t>5061011621368</t>
  </si>
  <si>
    <t>PONCHK-SUM-SM-UNICN-NS</t>
  </si>
  <si>
    <t>5061011621702</t>
  </si>
  <si>
    <t>SERVIETTE POUR CHIENS</t>
  </si>
  <si>
    <t>Medium 90x50cm</t>
  </si>
  <si>
    <t>Large 120x70cm</t>
  </si>
  <si>
    <t>Serviette ESSENTIEL</t>
  </si>
  <si>
    <t xml:space="preserve"> Lagoon Blue</t>
  </si>
  <si>
    <t>TOWLF-ESS-LG-BLUE-R</t>
  </si>
  <si>
    <t>5060668831960</t>
  </si>
  <si>
    <t xml:space="preserve"> Lagoon Blue </t>
  </si>
  <si>
    <t>Large (160x90cm)</t>
  </si>
  <si>
    <t>TOWLF-ESS-XL-BLUE-R</t>
  </si>
  <si>
    <t>5060668832011</t>
  </si>
  <si>
    <t xml:space="preserve"> Deep Sea Navy</t>
  </si>
  <si>
    <t>TOWLF-ESS-LG-DKBLU</t>
  </si>
  <si>
    <t>5060668836224</t>
  </si>
  <si>
    <t xml:space="preserve"> Deep Sea Navy </t>
  </si>
  <si>
    <t>TOWLF-ESS-XL-DKBLU</t>
  </si>
  <si>
    <t>5060668836248</t>
  </si>
  <si>
    <t xml:space="preserve"> Rainforest Green</t>
  </si>
  <si>
    <t>TOWLF-ESS-LG-GREEN-R</t>
  </si>
  <si>
    <t>5060668831977</t>
  </si>
  <si>
    <t xml:space="preserve"> Rainforest Green </t>
  </si>
  <si>
    <t>TOWLF-ESS-XL-GREEN-R</t>
  </si>
  <si>
    <t>5060668832028</t>
  </si>
  <si>
    <t>TOWLF-ESS-LG-GREY-R</t>
  </si>
  <si>
    <t>5060668831984</t>
  </si>
  <si>
    <t xml:space="preserve"> Mountain Grey </t>
  </si>
  <si>
    <t>TOWLF-ESS-XL-GREY-R</t>
  </si>
  <si>
    <t>5060668832035</t>
  </si>
  <si>
    <t xml:space="preserve"> Mountain Grey</t>
  </si>
  <si>
    <t xml:space="preserve"> Meadow Lilac</t>
  </si>
  <si>
    <t>TOWLF-ESS-LG-LTPPL</t>
  </si>
  <si>
    <t>5060668836231</t>
  </si>
  <si>
    <t xml:space="preserve"> Meadow Lilac </t>
  </si>
  <si>
    <t>TOWLF-ESS-XL-LTPPL</t>
  </si>
  <si>
    <t>5060668836255</t>
  </si>
  <si>
    <t>TOWLF-ESS-LG-PINK-R</t>
  </si>
  <si>
    <t>5060668832073</t>
  </si>
  <si>
    <t xml:space="preserve">Island Pink </t>
  </si>
  <si>
    <t>TOWLF-ESS-XL-PINK-R</t>
  </si>
  <si>
    <t>5060668832080</t>
  </si>
  <si>
    <t>Serviette RAFRAICHISSANTE</t>
  </si>
  <si>
    <t>COOL-CAB-LTGRY-R</t>
  </si>
  <si>
    <t>5060668832349</t>
  </si>
  <si>
    <t>Goa Grey</t>
  </si>
  <si>
    <t>One Size (69x33cm)</t>
  </si>
  <si>
    <t>COOL-CAB-NAVY-R</t>
  </si>
  <si>
    <t>5060668836262</t>
  </si>
  <si>
    <t xml:space="preserve"> Whitsunday Blue</t>
  </si>
  <si>
    <t>COOL-CAB-LTPNK-R</t>
  </si>
  <si>
    <t>SUNSET RUN</t>
  </si>
  <si>
    <t>MIDNIGHT MOVES</t>
  </si>
  <si>
    <t>DISPLAY n°1</t>
  </si>
  <si>
    <t>DISPLAY n°2</t>
  </si>
  <si>
    <t>5061011623454</t>
  </si>
  <si>
    <t>DESIGNS 2026</t>
  </si>
  <si>
    <t>TOWLB-DES-LG-HOTTROP</t>
  </si>
  <si>
    <t>TOWLB-DES-LG-WYWH</t>
  </si>
  <si>
    <t>TOWLB-DES-LG-IBZAGLW</t>
  </si>
  <si>
    <t>TOWLB-DES-LG-SWTESC</t>
  </si>
  <si>
    <t>TOWLB-DES-LG-PNKPARA</t>
  </si>
  <si>
    <t>TOWLB-DES-LG-TANTIDE</t>
  </si>
  <si>
    <t>TOWLB-DES-LG-KARMA</t>
  </si>
  <si>
    <t>TOWLB-DES-LG-WTRSUG</t>
  </si>
  <si>
    <t>Hot tropics</t>
  </si>
  <si>
    <t>TOWLB-DES-XL-HOTTROP</t>
  </si>
  <si>
    <t>TOWLB-DES-XL-WYWH</t>
  </si>
  <si>
    <t>TOWLB-DES-XL-IBZAGLW</t>
  </si>
  <si>
    <t>TOWLB-DES-XL-SWTESC</t>
  </si>
  <si>
    <t>TOWLB-DES-XL-PNKPARA</t>
  </si>
  <si>
    <t>TOWLB-DES-XL-TANTIDE</t>
  </si>
  <si>
    <t>TOWLB-DES-XL-KARMA</t>
  </si>
  <si>
    <t>TOWLB-DES-XL-WTRSUG</t>
  </si>
  <si>
    <t>TOWLB-DES-XL-GRECSHR</t>
  </si>
  <si>
    <t>TOWLB-COLLAB-LG-UNO</t>
  </si>
  <si>
    <t>TOWLB-COLLAB-XL-UNO</t>
  </si>
  <si>
    <t>Wich you were here</t>
  </si>
  <si>
    <t>Ibiza glow</t>
  </si>
  <si>
    <t>Sweet escape</t>
  </si>
  <si>
    <t>Pink paradise</t>
  </si>
  <si>
    <t>Tangerine Tide</t>
  </si>
  <si>
    <t>Banana Karma</t>
  </si>
  <si>
    <t>Watermelon Sugar</t>
  </si>
  <si>
    <t>Ocean treasure</t>
  </si>
  <si>
    <t>Grecian shores</t>
  </si>
  <si>
    <t>Wild Card</t>
  </si>
  <si>
    <t>TOWLB-DES-LG-OCETRES</t>
  </si>
  <si>
    <t>TOWLB-DES-XL-OCETRES</t>
  </si>
  <si>
    <t>TOWLB-DES-LG-BLUSKY</t>
  </si>
  <si>
    <t>BLUE SKY</t>
  </si>
  <si>
    <t>TOWLB-DES-XL-BLUSKY</t>
  </si>
  <si>
    <t>TOWLB-DES-LG-MELLOW</t>
  </si>
  <si>
    <t>MELLOW YELLOW</t>
  </si>
  <si>
    <t>TOWLB-DES-XL-MELLOW</t>
  </si>
  <si>
    <t>TOWLB-DES-LG-PSTPIER</t>
  </si>
  <si>
    <t>PASTEL PIER</t>
  </si>
  <si>
    <t>TOWLB-DES-XL-PSTPIER</t>
  </si>
  <si>
    <t>TOWLB-DES-LG-RSPROAD</t>
  </si>
  <si>
    <t>RASPBERRY ROAD</t>
  </si>
  <si>
    <t>TOWLB-DES-XL-RSPROAD</t>
  </si>
  <si>
    <t>TUTTI FRUTTI</t>
  </si>
  <si>
    <t>OCEAN PAVILION</t>
  </si>
  <si>
    <t>TOWLB-SUM-LG-TUTFRU</t>
  </si>
  <si>
    <t>TOWLB-SUM-XL-TUTFRU</t>
  </si>
  <si>
    <t>TOWLB-SUM-LG-OCEAN</t>
  </si>
  <si>
    <t>BALLAST-SUM-CSTCANDY</t>
  </si>
  <si>
    <t>INTO THE WILD</t>
  </si>
  <si>
    <t>TOWLB-KID-MD-INTOWILD</t>
  </si>
  <si>
    <t>GOOD VIBES CLUB</t>
  </si>
  <si>
    <t>TOWLB-KID-MD-GVCLUB</t>
  </si>
  <si>
    <t>READY FOR THIS JELLY</t>
  </si>
  <si>
    <t>TOWLB-KID-MD-JELLY</t>
  </si>
  <si>
    <t>CHECK ME OUT</t>
  </si>
  <si>
    <t>TOWLB-KID-MD-CHECKOUT</t>
  </si>
  <si>
    <t>TIDE SKATER</t>
  </si>
  <si>
    <t>TOWLB-KID-MD-SKATER</t>
  </si>
  <si>
    <t>TOWLB-KID-LG-INTOWILD</t>
  </si>
  <si>
    <t>TOWLB-KID-LG-GVCLUB</t>
  </si>
  <si>
    <t>TOWLB-KID-LG-JELLY</t>
  </si>
  <si>
    <t>TOWLB-KID-LG-CHECKOUT</t>
  </si>
  <si>
    <t>TOWLB-KID-LG-SKATER</t>
  </si>
  <si>
    <t>WAVY BABY</t>
  </si>
  <si>
    <t>WATERMELON SUGAR</t>
  </si>
  <si>
    <t>WISH YOU WERE HERE</t>
  </si>
  <si>
    <t>SUPPER CLUB</t>
  </si>
  <si>
    <t>IBIZA GLOW</t>
  </si>
  <si>
    <t>BAGF-DES-MD-WAVYBBY</t>
  </si>
  <si>
    <t>BAGF-SUM-MD-COLAGN</t>
  </si>
  <si>
    <t>BAGF-SUM-MD-MIAMI</t>
  </si>
  <si>
    <t>BAGF-DES-MD-WTRSUG</t>
  </si>
  <si>
    <t>BAGF-DES-MD-WYWH</t>
  </si>
  <si>
    <t>BAGF-DES-MD-SPRCLUB</t>
  </si>
  <si>
    <t>BAGF-DES-MD-IBZAGLW</t>
  </si>
  <si>
    <t>APPLE TART</t>
  </si>
  <si>
    <t>COLADA CLUB</t>
  </si>
  <si>
    <t>BAGCOOL-MD-APPLTRT</t>
  </si>
  <si>
    <t>BAGCOOL-MD-COLCLUB</t>
  </si>
  <si>
    <t>BAGBCH-MD-RSPROAD</t>
  </si>
  <si>
    <t>BAGBCH-MD-PSTPIER</t>
  </si>
  <si>
    <t>HOT TROPICS</t>
  </si>
  <si>
    <t>BAGDRY-XS-MIAMI</t>
  </si>
  <si>
    <t>BAGDRY-XS-WAVYBBY</t>
  </si>
  <si>
    <t>BAGDRY-XS-WYWH</t>
  </si>
  <si>
    <t>BAGDRY-MD-MIAMI</t>
  </si>
  <si>
    <t>BAGDRY-MD-IBZAGLW</t>
  </si>
  <si>
    <t>BAGDRY-MD-WAVYBBY</t>
  </si>
  <si>
    <t>MASQUE DE VOYAGE</t>
  </si>
  <si>
    <t>CHERRY BOMB</t>
  </si>
  <si>
    <t>NOT TODAY</t>
  </si>
  <si>
    <t>CHECKING OUT</t>
  </si>
  <si>
    <t>OUT OF OFFICE</t>
  </si>
  <si>
    <t>EYEMASK-DES-CHRYBMB</t>
  </si>
  <si>
    <t>EYEMASK-DES-NOTTDY</t>
  </si>
  <si>
    <t>EYEMASK-DES-CHKOUT</t>
  </si>
  <si>
    <t>EYEMASK-DES-OOO</t>
  </si>
  <si>
    <t>Trousse de toilette</t>
  </si>
  <si>
    <t>PEPPERMINT PUNCH</t>
  </si>
  <si>
    <t>BAGTOI-MD-PEPPNCH</t>
  </si>
  <si>
    <t>BAGTOI-MD-CHRYBMB</t>
  </si>
  <si>
    <t>SUGAR SORBET</t>
  </si>
  <si>
    <t>BRIGHT SIDE UP</t>
  </si>
  <si>
    <t>GRECIAN SHORES</t>
  </si>
  <si>
    <t>PICNIC-DES-LG-GRCSHR</t>
  </si>
  <si>
    <t>PICNIC-DES-XL-GRCSHR</t>
  </si>
  <si>
    <t>PICNIC-DES-LG-SPRCLUB</t>
  </si>
  <si>
    <t>PICNIC-DES-XL-SPRCLUB</t>
  </si>
  <si>
    <t>PICNIC-DES-LG-APPLTRT</t>
  </si>
  <si>
    <t>PICNIC-DES-XL-APPLTRT</t>
  </si>
  <si>
    <t>PICNIC-DES-LG-BRGTSIDE</t>
  </si>
  <si>
    <t>ICNIC-DES-XL-BRGTSIDE</t>
  </si>
  <si>
    <t>PICNIC-DES-LG-SORBET</t>
  </si>
  <si>
    <t>PICNIC-DES-XL-SORBET</t>
  </si>
  <si>
    <t>PONCHA-DES-MD-WAVYBBY</t>
  </si>
  <si>
    <t>PONCHA-DES-LG-WAVYBBY</t>
  </si>
  <si>
    <t>PONCHA-DES-MD-WTRSUG</t>
  </si>
  <si>
    <t>PONCHA-DES-LG-WTRSUG</t>
  </si>
  <si>
    <t>PONCHA-DES-MD-IBZAGLW</t>
  </si>
  <si>
    <t>PONCHA-DES-LG-IBZAGLW</t>
  </si>
  <si>
    <t>PONCHK-KID-SM-SKATER</t>
  </si>
  <si>
    <t>PONCHK-KID-SM-JELLY</t>
  </si>
  <si>
    <t>PONCHK-KID-SM-CHECKOUT</t>
  </si>
  <si>
    <t>PONCHK-KID-SM-INTOWILD</t>
  </si>
  <si>
    <t>PONCHK-KID-SM-GVCLUB</t>
  </si>
  <si>
    <t>PONCHK-KID-MD-SKATER</t>
  </si>
  <si>
    <t>PONCHK-KID-MD-JELLY</t>
  </si>
  <si>
    <t>PONCHK-KID-MD-CHECKOUT</t>
  </si>
  <si>
    <t>PONCHK-KID-MD-INTOWILD</t>
  </si>
  <si>
    <t>PONCHK-KID-MD-GVCLUB</t>
  </si>
  <si>
    <t>WINE &amp; DINE</t>
  </si>
  <si>
    <t>SPAGHETTI NO REGRETTI</t>
  </si>
  <si>
    <t>PEAS IN A POD</t>
  </si>
  <si>
    <t>SQUEAKY CLEAN</t>
  </si>
  <si>
    <t>CHECK PLEASE</t>
  </si>
  <si>
    <t>HEAD CHEF</t>
  </si>
  <si>
    <t>SOUS CHEF</t>
  </si>
  <si>
    <t>TROPICAL PUNCH</t>
  </si>
  <si>
    <t>GREETINGS FROM</t>
  </si>
  <si>
    <t>TEATWL-MD-WINEDINE</t>
  </si>
  <si>
    <t>TEATWL-MD-RGRTTI</t>
  </si>
  <si>
    <t>TEATWL-MD-PEAPOD</t>
  </si>
  <si>
    <t>TEATWL-MD-SQCLEAN</t>
  </si>
  <si>
    <t>TEATWL-MD-CHECKPLS</t>
  </si>
  <si>
    <t>TEATWL-MD-HEADCHEF</t>
  </si>
  <si>
    <t>TEATWL-MD-SOUSCHEF</t>
  </si>
  <si>
    <t>TEATWL-MD-TRPPNCH</t>
  </si>
  <si>
    <t>TEATWL-MD-GRTFROM</t>
  </si>
  <si>
    <t>SHRIMPLY THE BEST</t>
  </si>
  <si>
    <t>DINNER PARTY</t>
  </si>
  <si>
    <t>CATCH OF THE DAY</t>
  </si>
  <si>
    <t>KITCHEN DISCO</t>
  </si>
  <si>
    <t>GOLDEN HOUR</t>
  </si>
  <si>
    <t>STRAWBERRY &amp; FIZZ</t>
  </si>
  <si>
    <t>TEATWL-MD-SHRIMP</t>
  </si>
  <si>
    <t>TEATWL-MD-DINPRTY</t>
  </si>
  <si>
    <t>TEATWL-MD-CTCHDAY</t>
  </si>
  <si>
    <t>TEATWL-MD-KTCHDISC</t>
  </si>
  <si>
    <t>TEATWL-MD-GLDHOUR</t>
  </si>
  <si>
    <t>TEATWL-MD-STRAWFZ</t>
  </si>
  <si>
    <t>TEATWL-MD-APPLTRT</t>
  </si>
  <si>
    <t>OCEAN TREASURE</t>
  </si>
  <si>
    <t>PINK PARADISE</t>
  </si>
  <si>
    <t>SQUEEZE THE DAY</t>
  </si>
  <si>
    <t xml:space="preserve">SURF CHECK </t>
  </si>
  <si>
    <t>HAIRW-SUE-WYWH</t>
  </si>
  <si>
    <t>HAIRW-SUE-HOTTROP</t>
  </si>
  <si>
    <t>HAIRW-SUE-OCETRES</t>
  </si>
  <si>
    <t>HAIRW-SUE-PNKPARA</t>
  </si>
  <si>
    <t>HAIRW-SUE-SQZDAY</t>
  </si>
  <si>
    <t>HAIRW-SUE-SURFCHK</t>
  </si>
  <si>
    <t>HAIRW-SUE-PSTPIER</t>
  </si>
  <si>
    <t>HAIRW-SUE-IBZAGLW</t>
  </si>
  <si>
    <t>TIGER PALM</t>
  </si>
  <si>
    <t>HAIRW-WAF-CHRYBMB</t>
  </si>
  <si>
    <t>HAIRW-WAF-TIGPALM</t>
  </si>
  <si>
    <t>TULUM BLUE</t>
  </si>
  <si>
    <t>LOMBOK LILAC</t>
  </si>
  <si>
    <t>UNICORN WAVES</t>
  </si>
  <si>
    <t>MALIBU PINK</t>
  </si>
  <si>
    <t>HAIRW-CAB-NAVY-NB</t>
  </si>
  <si>
    <t>HAIRW-CAB-LTBLU-NB</t>
  </si>
  <si>
    <t>HAIRW-SUM-UNICN-NB</t>
  </si>
  <si>
    <t>HAIRW-CAB-LTPPL-NB</t>
  </si>
  <si>
    <t>HAIRW-SUE-MIAMI</t>
  </si>
  <si>
    <t>HAIRW-CAB-LTPNK-NB</t>
  </si>
  <si>
    <t>GIFT-BOX-BEAUTY-TIGPALM</t>
  </si>
  <si>
    <t>GIFT-BOX-BEAUTY-CHRYBMB</t>
  </si>
  <si>
    <t>TOWLH-CLB-LG-CHRYBMB</t>
  </si>
  <si>
    <t>TOWLH-CLB-XL-CHRYBMB</t>
  </si>
  <si>
    <t>TOWLH-CLB-SM-PEPPNCH</t>
  </si>
  <si>
    <t>TOWLH-CLB-LG-PEPPNCH</t>
  </si>
  <si>
    <t>TOWLH-CLB-XL-PEPPNCH</t>
  </si>
  <si>
    <t>TOWLH-DES-SM-TIGPALM</t>
  </si>
  <si>
    <t>TOWLH-DES-LG-TIGPALM</t>
  </si>
  <si>
    <t>TOWLH-DES-XL-TIGPALM</t>
  </si>
  <si>
    <t>TOWLH-CLB-SM-CHRYBMB</t>
  </si>
  <si>
    <t>UNDERCOVER WALKIES</t>
  </si>
  <si>
    <t xml:space="preserve">A DOGS DINNER </t>
  </si>
  <si>
    <t>DOGTWL-DES-MD-DOGDIN</t>
  </si>
  <si>
    <t>GO LONG</t>
  </si>
  <si>
    <t>PINK PAWS</t>
  </si>
  <si>
    <t>CHECK MUTT</t>
  </si>
  <si>
    <t xml:space="preserve">DOG &amp; BAY CLUB </t>
  </si>
  <si>
    <t>DOGTWL-DES-MD-DNBCLUB</t>
  </si>
  <si>
    <t>DOGTWL-DES-MD-UNDWLK</t>
  </si>
  <si>
    <t>DOGTWL-DES-LG-UNDWLK</t>
  </si>
  <si>
    <t>DOGTWL-DES-LG-DOGDIN</t>
  </si>
  <si>
    <t>DOGTWL-DES-MD-GOLONG</t>
  </si>
  <si>
    <t>DOGTWL-DES-LG-GOLONG</t>
  </si>
  <si>
    <t>DOGTWL-DES-MD-PNKPAWS</t>
  </si>
  <si>
    <t>DOGTWL-DES-LG-PNKPAWS</t>
  </si>
  <si>
    <t>DOGTWL-DES-MD-CHKMTT</t>
  </si>
  <si>
    <t>DOGTWL-DES-LG-CHKMTT</t>
  </si>
  <si>
    <t>DOGTWL-DES-LG-DNBCLUB</t>
  </si>
  <si>
    <t>The beauty box</t>
  </si>
  <si>
    <t>Serviette de bain</t>
  </si>
  <si>
    <t>Transport DHL</t>
  </si>
  <si>
    <t>TOWLB-DOB-LG-CALM</t>
  </si>
  <si>
    <t>TOWLB-DOB-XL-CALM</t>
  </si>
  <si>
    <t>20% des benefices reversés à l'association CALM</t>
  </si>
  <si>
    <t>CALM</t>
  </si>
  <si>
    <t>COLISAGE x6</t>
  </si>
  <si>
    <t>COLISAGE</t>
  </si>
  <si>
    <t>PONCHA-CAB-MD-LTPNK-NS</t>
  </si>
  <si>
    <t>PONCHA-CAB-LG-LTPNK-NS</t>
  </si>
  <si>
    <t>PONCHA-CAB-XL-LTPNK</t>
  </si>
  <si>
    <t>PONCHA-CAB-MD-NAVY-NS</t>
  </si>
  <si>
    <t>PONCHA-CAB-LG-NAVY-NS</t>
  </si>
  <si>
    <t>PONCHA-CAB-MD-BLUE-NS</t>
  </si>
  <si>
    <t>PONCHA-CAB-LG-BLUE-NS</t>
  </si>
  <si>
    <t>PONCHA-SUM-MD-UNICN-NS</t>
  </si>
  <si>
    <t>PONCHA-SUM-LG-UNICN-NS</t>
  </si>
  <si>
    <t>BAGDRY-XS-HOTTROP</t>
  </si>
  <si>
    <t>TOWLB-CAB-MD-LTBLU</t>
  </si>
  <si>
    <t>TOWLB-CAB-MD-NAVY</t>
  </si>
  <si>
    <t>TOWLB-CAB-MD-LTPNK</t>
  </si>
  <si>
    <t>PONCHK-CAB-MD-BLUE-NS</t>
  </si>
  <si>
    <t>PONCHK-CAB-MD-LTPNK-NS</t>
  </si>
  <si>
    <t>PONCHK-CAB-MD-NAVY-NS</t>
  </si>
  <si>
    <t>PONCHK-SUM-MD-UNICN-NS</t>
  </si>
  <si>
    <t>PONCHK-SUM-MD-CSTCANDY</t>
  </si>
  <si>
    <t>TOWLB-SUM-XL-UNICN-R</t>
  </si>
  <si>
    <t>TOWLB-SUM-XL-OCEAN</t>
  </si>
  <si>
    <t>UNICORN WAVE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</si>
</sst>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#,##0\ _€"/>
  </numFmts>
  <fonts count="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venir Next LT Pro"/>
      <family val="2"/>
    </font>
    <font>
      <b/>
      <sz val="14"/>
      <color rgb="FFFF99CC"/>
      <name val="Avenir Next LT Pro"/>
      <family val="2"/>
    </font>
    <font>
      <b/>
      <sz val="14"/>
      <color theme="1"/>
      <name val="Avenir Next LT Pro"/>
      <family val="2"/>
    </font>
    <font>
      <sz val="14"/>
      <name val="Avenir Next LT Pro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venir Next LT Pro"/>
      <family val="2"/>
    </font>
    <font>
      <b/>
      <sz val="16"/>
      <color rgb="FFFF99CC"/>
      <name val="Avenir Next LT Pro"/>
      <family val="2"/>
    </font>
    <font>
      <b/>
      <sz val="12"/>
      <color theme="1"/>
      <name val="Calibri"/>
      <family val="2"/>
      <scheme val="minor"/>
    </font>
    <font>
      <sz val="9"/>
      <color theme="1"/>
      <name val="Montserrat"/>
    </font>
    <font>
      <sz val="10"/>
      <color theme="1"/>
      <name val="Montserrat"/>
    </font>
    <font>
      <sz val="8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color rgb="FFFF99CC"/>
      <name val="Avenir Next LT Pro"/>
      <family val="2"/>
    </font>
    <font>
      <b/>
      <sz val="8"/>
      <color theme="1"/>
      <name val="Avenir Next LT Pro"/>
      <family val="2"/>
    </font>
    <font>
      <b/>
      <sz val="8"/>
      <color rgb="FFFF99CC"/>
      <name val="Avenir Next LT Pro"/>
      <family val="2"/>
    </font>
    <font>
      <sz val="16"/>
      <color theme="1"/>
      <name val="Calibri"/>
      <family val="2"/>
      <scheme val="minor"/>
    </font>
    <font>
      <sz val="16"/>
      <color theme="1"/>
      <name val="Avenir Next LT Pro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venir Next LT Pro"/>
      <family val="2"/>
    </font>
    <font>
      <b/>
      <sz val="22"/>
      <color theme="1"/>
      <name val="Calibri"/>
      <family val="2"/>
      <scheme val="minor"/>
    </font>
    <font>
      <b/>
      <sz val="22"/>
      <color theme="1"/>
      <name val="Avenir Next LT Pro"/>
      <family val="2"/>
    </font>
    <font>
      <b/>
      <sz val="22"/>
      <color rgb="FFFF99CC"/>
      <name val="Avenir Next LT Pro"/>
      <family val="2"/>
    </font>
    <font>
      <sz val="22"/>
      <color theme="1"/>
      <name val="Avenir Next LT Pro"/>
      <family val="2"/>
    </font>
    <font>
      <sz val="12"/>
      <color theme="1"/>
      <name val="Montserrat"/>
    </font>
    <font>
      <sz val="14"/>
      <color theme="1"/>
      <name val="Aptos"/>
      <family val="2"/>
    </font>
    <font>
      <u/>
      <sz val="11"/>
      <color theme="1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ptos"/>
      <family val="2"/>
    </font>
    <font>
      <b/>
      <sz val="9"/>
      <color rgb="FFFFFFFF"/>
      <name val="Montserrat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indexed="8"/>
      <name val="Avenir Next LT Pro"/>
      <family val="2"/>
    </font>
    <font>
      <b/>
      <sz val="12"/>
      <color indexed="8"/>
      <name val="Avenir Next LT Pro"/>
      <family val="2"/>
    </font>
    <font>
      <sz val="16"/>
      <name val="Avenir Next LT Pro"/>
      <family val="2"/>
    </font>
    <font>
      <sz val="14"/>
      <color rgb="FF4A4A49"/>
      <name val="Avenir Next LT Pro"/>
      <family val="2"/>
    </font>
    <font>
      <b/>
      <sz val="14"/>
      <color rgb="FF4A4A49"/>
      <name val="Avenir Next LT Pro"/>
      <family val="2"/>
    </font>
    <font>
      <sz val="11"/>
      <name val="Calibri"/>
      <family val="2"/>
    </font>
    <font>
      <sz val="14"/>
      <name val="Calibri"/>
      <family val="2"/>
    </font>
    <font>
      <sz val="11"/>
      <name val="Avenir Next LT Pro"/>
      <family val="2"/>
    </font>
    <font>
      <sz val="14"/>
      <color rgb="FF4A4A49"/>
      <name val="Arial Nova Light"/>
      <family val="2"/>
    </font>
    <font>
      <sz val="14"/>
      <name val="Arial Nova Light"/>
      <family val="2"/>
    </font>
    <font>
      <sz val="5"/>
      <color rgb="FFCCFF99"/>
      <name val="Gotham-Book"/>
    </font>
    <font>
      <b/>
      <sz val="14"/>
      <color theme="0"/>
      <name val="Avenir Next LT Pro"/>
      <family val="2"/>
    </font>
    <font>
      <b/>
      <sz val="14"/>
      <name val="Avenir Next LT Pro"/>
      <family val="2"/>
    </font>
    <font>
      <b/>
      <sz val="26"/>
      <color rgb="FFFF99CC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/>
        <bgColor rgb="FFE06666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3" fillId="0" borderId="0"/>
  </cellStyleXfs>
  <cellXfs count="27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6" fontId="3" fillId="2" borderId="0" xfId="0" applyNumberFormat="1" applyFont="1" applyFill="1"/>
    <xf numFmtId="6" fontId="0" fillId="2" borderId="0" xfId="0" applyNumberFormat="1" applyFill="1"/>
    <xf numFmtId="0" fontId="5" fillId="2" borderId="0" xfId="0" applyFont="1" applyFill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3" borderId="0" xfId="0" applyFill="1"/>
    <xf numFmtId="0" fontId="8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5" fillId="3" borderId="0" xfId="0" applyFont="1" applyFill="1"/>
    <xf numFmtId="164" fontId="7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5" fontId="6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0" fillId="3" borderId="0" xfId="0" applyFont="1" applyFill="1"/>
    <xf numFmtId="0" fontId="11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3" fillId="0" borderId="0" xfId="0" applyFont="1"/>
    <xf numFmtId="0" fontId="13" fillId="2" borderId="0" xfId="0" applyFont="1" applyFill="1"/>
    <xf numFmtId="164" fontId="6" fillId="2" borderId="1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/>
    </xf>
    <xf numFmtId="164" fontId="11" fillId="3" borderId="0" xfId="0" applyNumberFormat="1" applyFont="1" applyFill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6" fillId="0" borderId="1" xfId="0" applyFont="1" applyBorder="1"/>
    <xf numFmtId="0" fontId="20" fillId="2" borderId="1" xfId="0" applyFont="1" applyFill="1" applyBorder="1"/>
    <xf numFmtId="0" fontId="21" fillId="2" borderId="1" xfId="0" applyFont="1" applyFill="1" applyBorder="1"/>
    <xf numFmtId="0" fontId="16" fillId="4" borderId="0" xfId="0" applyFont="1" applyFill="1"/>
    <xf numFmtId="0" fontId="20" fillId="4" borderId="0" xfId="0" applyFont="1" applyFill="1"/>
    <xf numFmtId="0" fontId="20" fillId="4" borderId="3" xfId="0" applyFont="1" applyFill="1" applyBorder="1"/>
    <xf numFmtId="0" fontId="21" fillId="4" borderId="3" xfId="0" applyFont="1" applyFill="1" applyBorder="1"/>
    <xf numFmtId="0" fontId="17" fillId="0" borderId="1" xfId="0" applyFont="1" applyBorder="1"/>
    <xf numFmtId="8" fontId="19" fillId="0" borderId="1" xfId="0" applyNumberFormat="1" applyFont="1" applyBorder="1"/>
    <xf numFmtId="6" fontId="17" fillId="0" borderId="1" xfId="0" applyNumberFormat="1" applyFont="1" applyBorder="1"/>
    <xf numFmtId="0" fontId="17" fillId="2" borderId="1" xfId="0" applyFont="1" applyFill="1" applyBorder="1"/>
    <xf numFmtId="8" fontId="19" fillId="2" borderId="1" xfId="0" applyNumberFormat="1" applyFont="1" applyFill="1" applyBorder="1"/>
    <xf numFmtId="6" fontId="17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22" fillId="4" borderId="0" xfId="0" applyFont="1" applyFill="1"/>
    <xf numFmtId="0" fontId="23" fillId="4" borderId="0" xfId="0" applyFont="1" applyFill="1"/>
    <xf numFmtId="0" fontId="23" fillId="4" borderId="4" xfId="0" applyFont="1" applyFill="1" applyBorder="1"/>
    <xf numFmtId="0" fontId="12" fillId="4" borderId="4" xfId="0" applyFont="1" applyFill="1" applyBorder="1"/>
    <xf numFmtId="8" fontId="17" fillId="0" borderId="1" xfId="0" applyNumberFormat="1" applyFont="1" applyBorder="1"/>
    <xf numFmtId="8" fontId="17" fillId="2" borderId="1" xfId="0" applyNumberFormat="1" applyFont="1" applyFill="1" applyBorder="1"/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/>
    </xf>
    <xf numFmtId="8" fontId="11" fillId="4" borderId="4" xfId="0" applyNumberFormat="1" applyFont="1" applyFill="1" applyBorder="1"/>
    <xf numFmtId="0" fontId="25" fillId="2" borderId="0" xfId="0" applyFont="1" applyFill="1"/>
    <xf numFmtId="0" fontId="6" fillId="0" borderId="0" xfId="0" applyFont="1"/>
    <xf numFmtId="1" fontId="6" fillId="0" borderId="0" xfId="0" applyNumberFormat="1" applyFont="1"/>
    <xf numFmtId="0" fontId="6" fillId="0" borderId="1" xfId="0" applyFont="1" applyBorder="1"/>
    <xf numFmtId="0" fontId="7" fillId="0" borderId="1" xfId="0" applyFont="1" applyBorder="1"/>
    <xf numFmtId="0" fontId="25" fillId="0" borderId="0" xfId="0" applyFont="1"/>
    <xf numFmtId="1" fontId="8" fillId="2" borderId="1" xfId="0" applyNumberFormat="1" applyFont="1" applyFill="1" applyBorder="1" applyAlignment="1">
      <alignment horizontal="left"/>
    </xf>
    <xf numFmtId="0" fontId="6" fillId="5" borderId="0" xfId="0" applyFont="1" applyFill="1"/>
    <xf numFmtId="0" fontId="8" fillId="5" borderId="1" xfId="0" applyFont="1" applyFill="1" applyBorder="1" applyAlignment="1">
      <alignment horizontal="left"/>
    </xf>
    <xf numFmtId="1" fontId="8" fillId="5" borderId="1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2" borderId="0" xfId="0" applyFont="1" applyFill="1"/>
    <xf numFmtId="0" fontId="9" fillId="0" borderId="1" xfId="0" applyFont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0" fontId="8" fillId="2" borderId="0" xfId="0" applyFont="1" applyFill="1"/>
    <xf numFmtId="164" fontId="7" fillId="2" borderId="1" xfId="0" applyNumberFormat="1" applyFont="1" applyFill="1" applyBorder="1" applyAlignment="1">
      <alignment horizontal="left"/>
    </xf>
    <xf numFmtId="6" fontId="6" fillId="0" borderId="1" xfId="0" applyNumberFormat="1" applyFont="1" applyBorder="1" applyAlignment="1">
      <alignment horizontal="left"/>
    </xf>
    <xf numFmtId="164" fontId="8" fillId="5" borderId="1" xfId="0" applyNumberFormat="1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8" fillId="5" borderId="0" xfId="0" applyFont="1" applyFill="1"/>
    <xf numFmtId="1" fontId="8" fillId="5" borderId="0" xfId="0" applyNumberFormat="1" applyFont="1" applyFill="1"/>
    <xf numFmtId="0" fontId="8" fillId="5" borderId="4" xfId="0" applyFont="1" applyFill="1" applyBorder="1"/>
    <xf numFmtId="0" fontId="7" fillId="5" borderId="4" xfId="0" applyFont="1" applyFill="1" applyBorder="1"/>
    <xf numFmtId="0" fontId="25" fillId="0" borderId="0" xfId="0" applyFont="1" applyAlignment="1">
      <alignment wrapText="1"/>
    </xf>
    <xf numFmtId="164" fontId="6" fillId="5" borderId="1" xfId="0" applyNumberFormat="1" applyFont="1" applyFill="1" applyBorder="1" applyAlignment="1">
      <alignment horizontal="left"/>
    </xf>
    <xf numFmtId="164" fontId="8" fillId="5" borderId="0" xfId="0" applyNumberFormat="1" applyFont="1" applyFill="1"/>
    <xf numFmtId="0" fontId="25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0" fontId="8" fillId="0" borderId="1" xfId="0" applyFont="1" applyBorder="1"/>
    <xf numFmtId="0" fontId="26" fillId="0" borderId="0" xfId="0" applyFont="1"/>
    <xf numFmtId="1" fontId="8" fillId="2" borderId="1" xfId="0" applyNumberFormat="1" applyFont="1" applyFill="1" applyBorder="1"/>
    <xf numFmtId="0" fontId="25" fillId="6" borderId="0" xfId="0" applyFont="1" applyFill="1" applyAlignment="1">
      <alignment horizontal="center"/>
    </xf>
    <xf numFmtId="0" fontId="8" fillId="6" borderId="1" xfId="0" applyFont="1" applyFill="1" applyBorder="1"/>
    <xf numFmtId="1" fontId="8" fillId="6" borderId="1" xfId="0" applyNumberFormat="1" applyFont="1" applyFill="1" applyBorder="1"/>
    <xf numFmtId="0" fontId="7" fillId="6" borderId="1" xfId="0" applyFont="1" applyFill="1" applyBorder="1"/>
    <xf numFmtId="0" fontId="6" fillId="6" borderId="1" xfId="0" applyFont="1" applyFill="1" applyBorder="1"/>
    <xf numFmtId="0" fontId="6" fillId="2" borderId="1" xfId="0" applyFont="1" applyFill="1" applyBorder="1"/>
    <xf numFmtId="164" fontId="7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0" borderId="1" xfId="0" applyNumberFormat="1" applyFont="1" applyBorder="1"/>
    <xf numFmtId="0" fontId="8" fillId="6" borderId="1" xfId="0" applyFont="1" applyFill="1" applyBorder="1" applyAlignment="1">
      <alignment wrapText="1"/>
    </xf>
    <xf numFmtId="164" fontId="7" fillId="6" borderId="1" xfId="0" applyNumberFormat="1" applyFont="1" applyFill="1" applyBorder="1"/>
    <xf numFmtId="164" fontId="6" fillId="6" borderId="1" xfId="0" applyNumberFormat="1" applyFont="1" applyFill="1" applyBorder="1"/>
    <xf numFmtId="164" fontId="7" fillId="0" borderId="1" xfId="0" applyNumberFormat="1" applyFont="1" applyBorder="1"/>
    <xf numFmtId="0" fontId="13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8" fontId="7" fillId="2" borderId="1" xfId="0" applyNumberFormat="1" applyFont="1" applyFill="1" applyBorder="1"/>
    <xf numFmtId="6" fontId="6" fillId="2" borderId="1" xfId="0" applyNumberFormat="1" applyFont="1" applyFill="1" applyBorder="1"/>
    <xf numFmtId="0" fontId="9" fillId="0" borderId="1" xfId="0" applyFont="1" applyBorder="1"/>
    <xf numFmtId="0" fontId="27" fillId="6" borderId="0" xfId="0" applyFont="1" applyFill="1" applyAlignment="1">
      <alignment horizontal="center"/>
    </xf>
    <xf numFmtId="0" fontId="28" fillId="6" borderId="0" xfId="0" applyFont="1" applyFill="1"/>
    <xf numFmtId="1" fontId="28" fillId="6" borderId="0" xfId="0" applyNumberFormat="1" applyFont="1" applyFill="1"/>
    <xf numFmtId="0" fontId="29" fillId="6" borderId="0" xfId="0" applyFont="1" applyFill="1"/>
    <xf numFmtId="0" fontId="30" fillId="6" borderId="0" xfId="0" applyFont="1" applyFill="1"/>
    <xf numFmtId="0" fontId="8" fillId="0" borderId="0" xfId="0" applyFont="1"/>
    <xf numFmtId="0" fontId="7" fillId="0" borderId="0" xfId="0" applyFont="1"/>
    <xf numFmtId="0" fontId="26" fillId="0" borderId="1" xfId="0" applyFont="1" applyBorder="1"/>
    <xf numFmtId="0" fontId="13" fillId="0" borderId="0" xfId="0" applyFont="1" applyAlignment="1">
      <alignment horizontal="center"/>
    </xf>
    <xf numFmtId="0" fontId="26" fillId="6" borderId="1" xfId="0" applyFont="1" applyFill="1" applyBorder="1"/>
    <xf numFmtId="0" fontId="13" fillId="2" borderId="0" xfId="0" applyFont="1" applyFill="1" applyAlignment="1">
      <alignment horizontal="center"/>
    </xf>
    <xf numFmtId="164" fontId="26" fillId="2" borderId="1" xfId="0" applyNumberFormat="1" applyFont="1" applyFill="1" applyBorder="1"/>
    <xf numFmtId="164" fontId="25" fillId="0" borderId="0" xfId="0" applyNumberFormat="1" applyFont="1" applyAlignment="1">
      <alignment horizontal="center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164" fontId="26" fillId="6" borderId="1" xfId="0" applyNumberFormat="1" applyFont="1" applyFill="1" applyBorder="1"/>
    <xf numFmtId="1" fontId="0" fillId="0" borderId="0" xfId="0" applyNumberFormat="1" applyAlignment="1">
      <alignment horizontal="center"/>
    </xf>
    <xf numFmtId="164" fontId="28" fillId="6" borderId="0" xfId="0" applyNumberFormat="1" applyFont="1" applyFill="1"/>
    <xf numFmtId="0" fontId="27" fillId="2" borderId="0" xfId="0" applyFont="1" applyFill="1"/>
    <xf numFmtId="0" fontId="32" fillId="0" borderId="0" xfId="0" applyFont="1"/>
    <xf numFmtId="0" fontId="32" fillId="7" borderId="0" xfId="0" applyFont="1" applyFill="1"/>
    <xf numFmtId="0" fontId="8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7" fillId="7" borderId="1" xfId="0" applyNumberFormat="1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0" fontId="32" fillId="2" borderId="0" xfId="0" applyFont="1" applyFill="1"/>
    <xf numFmtId="0" fontId="34" fillId="0" borderId="5" xfId="0" applyFont="1" applyBorder="1"/>
    <xf numFmtId="0" fontId="35" fillId="0" borderId="6" xfId="0" applyFont="1" applyBorder="1"/>
    <xf numFmtId="0" fontId="35" fillId="2" borderId="7" xfId="0" applyFont="1" applyFill="1" applyBorder="1"/>
    <xf numFmtId="0" fontId="35" fillId="0" borderId="9" xfId="0" applyFont="1" applyBorder="1"/>
    <xf numFmtId="0" fontId="36" fillId="0" borderId="10" xfId="0" applyFont="1" applyBorder="1"/>
    <xf numFmtId="0" fontId="37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164" fontId="8" fillId="2" borderId="1" xfId="0" applyNumberFormat="1" applyFont="1" applyFill="1" applyBorder="1" applyAlignment="1">
      <alignment horizontal="left"/>
    </xf>
    <xf numFmtId="0" fontId="37" fillId="0" borderId="14" xfId="0" applyFont="1" applyBorder="1"/>
    <xf numFmtId="0" fontId="5" fillId="2" borderId="15" xfId="0" applyFont="1" applyFill="1" applyBorder="1"/>
    <xf numFmtId="0" fontId="5" fillId="0" borderId="15" xfId="0" applyFont="1" applyBorder="1"/>
    <xf numFmtId="0" fontId="5" fillId="0" borderId="13" xfId="0" applyFont="1" applyBorder="1"/>
    <xf numFmtId="0" fontId="37" fillId="0" borderId="14" xfId="0" applyFont="1" applyBorder="1" applyAlignment="1">
      <alignment wrapText="1"/>
    </xf>
    <xf numFmtId="0" fontId="13" fillId="0" borderId="15" xfId="0" applyFont="1" applyBorder="1"/>
    <xf numFmtId="0" fontId="13" fillId="0" borderId="13" xfId="0" applyFont="1" applyBorder="1"/>
    <xf numFmtId="0" fontId="0" fillId="0" borderId="15" xfId="0" applyBorder="1"/>
    <xf numFmtId="0" fontId="0" fillId="0" borderId="13" xfId="0" applyBorder="1"/>
    <xf numFmtId="0" fontId="37" fillId="0" borderId="16" xfId="0" applyFont="1" applyBorder="1"/>
    <xf numFmtId="0" fontId="0" fillId="0" borderId="17" xfId="0" applyBorder="1"/>
    <xf numFmtId="0" fontId="37" fillId="0" borderId="0" xfId="0" applyFont="1"/>
    <xf numFmtId="164" fontId="8" fillId="7" borderId="1" xfId="0" applyNumberFormat="1" applyFont="1" applyFill="1" applyBorder="1" applyAlignment="1">
      <alignment horizontal="left"/>
    </xf>
    <xf numFmtId="0" fontId="38" fillId="7" borderId="0" xfId="0" applyFont="1" applyFill="1"/>
    <xf numFmtId="0" fontId="38" fillId="7" borderId="18" xfId="0" applyFont="1" applyFill="1" applyBorder="1"/>
    <xf numFmtId="0" fontId="8" fillId="0" borderId="0" xfId="0" applyFont="1" applyAlignment="1">
      <alignment horizontal="center"/>
    </xf>
    <xf numFmtId="0" fontId="40" fillId="2" borderId="0" xfId="0" applyFont="1" applyFill="1"/>
    <xf numFmtId="0" fontId="6" fillId="2" borderId="4" xfId="0" applyFont="1" applyFill="1" applyBorder="1"/>
    <xf numFmtId="0" fontId="8" fillId="0" borderId="4" xfId="0" applyFont="1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0" fontId="43" fillId="9" borderId="19" xfId="0" applyFont="1" applyFill="1" applyBorder="1"/>
    <xf numFmtId="0" fontId="43" fillId="0" borderId="19" xfId="0" applyFont="1" applyBorder="1"/>
    <xf numFmtId="0" fontId="44" fillId="9" borderId="19" xfId="0" applyFont="1" applyFill="1" applyBorder="1"/>
    <xf numFmtId="0" fontId="44" fillId="0" borderId="19" xfId="0" applyFont="1" applyBorder="1"/>
    <xf numFmtId="0" fontId="9" fillId="0" borderId="0" xfId="0" applyFont="1" applyAlignment="1">
      <alignment horizontal="left"/>
    </xf>
    <xf numFmtId="0" fontId="46" fillId="0" borderId="0" xfId="0" applyFont="1"/>
    <xf numFmtId="0" fontId="46" fillId="0" borderId="1" xfId="0" applyFont="1" applyBorder="1"/>
    <xf numFmtId="0" fontId="47" fillId="0" borderId="0" xfId="0" applyFont="1"/>
    <xf numFmtId="0" fontId="48" fillId="0" borderId="0" xfId="0" applyFont="1"/>
    <xf numFmtId="0" fontId="8" fillId="7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9" fillId="0" borderId="0" xfId="0" applyFont="1"/>
    <xf numFmtId="0" fontId="51" fillId="0" borderId="0" xfId="0" applyFont="1"/>
    <xf numFmtId="0" fontId="52" fillId="0" borderId="0" xfId="0" applyFont="1"/>
    <xf numFmtId="0" fontId="47" fillId="0" borderId="1" xfId="0" applyFont="1" applyBorder="1"/>
    <xf numFmtId="0" fontId="53" fillId="4" borderId="0" xfId="0" applyFont="1" applyFill="1"/>
    <xf numFmtId="0" fontId="9" fillId="0" borderId="18" xfId="0" applyFont="1" applyBorder="1"/>
    <xf numFmtId="1" fontId="6" fillId="6" borderId="18" xfId="0" applyNumberFormat="1" applyFont="1" applyFill="1" applyBorder="1"/>
    <xf numFmtId="0" fontId="9" fillId="2" borderId="18" xfId="0" applyFont="1" applyFill="1" applyBorder="1"/>
    <xf numFmtId="0" fontId="6" fillId="0" borderId="18" xfId="0" applyFont="1" applyBorder="1"/>
    <xf numFmtId="0" fontId="6" fillId="7" borderId="18" xfId="0" applyFont="1" applyFill="1" applyBorder="1" applyAlignment="1">
      <alignment horizontal="left"/>
    </xf>
    <xf numFmtId="0" fontId="32" fillId="10" borderId="0" xfId="0" applyFont="1" applyFill="1"/>
    <xf numFmtId="0" fontId="6" fillId="10" borderId="0" xfId="0" applyFont="1" applyFill="1"/>
    <xf numFmtId="0" fontId="8" fillId="10" borderId="0" xfId="0" applyFont="1" applyFill="1"/>
    <xf numFmtId="0" fontId="2" fillId="2" borderId="0" xfId="0" applyFont="1" applyFill="1"/>
    <xf numFmtId="0" fontId="8" fillId="0" borderId="19" xfId="0" applyFont="1" applyBorder="1" applyAlignment="1">
      <alignment horizontal="left" vertical="center"/>
    </xf>
    <xf numFmtId="0" fontId="6" fillId="7" borderId="19" xfId="0" applyFont="1" applyFill="1" applyBorder="1" applyAlignment="1">
      <alignment horizontal="left"/>
    </xf>
    <xf numFmtId="164" fontId="6" fillId="7" borderId="19" xfId="0" applyNumberFormat="1" applyFont="1" applyFill="1" applyBorder="1" applyAlignment="1">
      <alignment horizontal="left"/>
    </xf>
    <xf numFmtId="0" fontId="8" fillId="7" borderId="19" xfId="0" applyFont="1" applyFill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6" borderId="19" xfId="0" applyFont="1" applyFill="1" applyBorder="1"/>
    <xf numFmtId="0" fontId="6" fillId="2" borderId="19" xfId="0" applyFont="1" applyFill="1" applyBorder="1"/>
    <xf numFmtId="0" fontId="8" fillId="0" borderId="19" xfId="0" applyFont="1" applyBorder="1"/>
    <xf numFmtId="0" fontId="55" fillId="0" borderId="19" xfId="0" applyFont="1" applyBorder="1" applyAlignment="1">
      <alignment horizontal="left"/>
    </xf>
    <xf numFmtId="0" fontId="55" fillId="5" borderId="19" xfId="0" applyFont="1" applyFill="1" applyBorder="1" applyAlignment="1">
      <alignment horizontal="left"/>
    </xf>
    <xf numFmtId="0" fontId="55" fillId="5" borderId="0" xfId="0" applyFont="1" applyFill="1"/>
    <xf numFmtId="0" fontId="55" fillId="0" borderId="0" xfId="0" applyFont="1"/>
    <xf numFmtId="0" fontId="20" fillId="2" borderId="19" xfId="0" applyFont="1" applyFill="1" applyBorder="1"/>
    <xf numFmtId="0" fontId="17" fillId="0" borderId="19" xfId="0" applyFont="1" applyBorder="1"/>
    <xf numFmtId="0" fontId="8" fillId="3" borderId="19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56" fillId="0" borderId="8" xfId="0" applyFont="1" applyBorder="1"/>
    <xf numFmtId="0" fontId="32" fillId="0" borderId="19" xfId="0" applyFont="1" applyBorder="1"/>
    <xf numFmtId="49" fontId="8" fillId="2" borderId="19" xfId="0" applyNumberFormat="1" applyFont="1" applyFill="1" applyBorder="1" applyAlignment="1">
      <alignment horizontal="left" vertical="center" wrapText="1"/>
    </xf>
    <xf numFmtId="1" fontId="8" fillId="0" borderId="19" xfId="0" applyNumberFormat="1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54" fillId="11" borderId="19" xfId="0" applyFont="1" applyFill="1" applyBorder="1" applyAlignment="1">
      <alignment horizontal="left" vertical="center"/>
    </xf>
    <xf numFmtId="49" fontId="8" fillId="7" borderId="19" xfId="0" applyNumberFormat="1" applyFont="1" applyFill="1" applyBorder="1" applyAlignment="1">
      <alignment horizontal="left" vertical="center" wrapText="1"/>
    </xf>
    <xf numFmtId="1" fontId="6" fillId="7" borderId="19" xfId="0" applyNumberFormat="1" applyFont="1" applyFill="1" applyBorder="1" applyAlignment="1">
      <alignment horizontal="left"/>
    </xf>
    <xf numFmtId="0" fontId="7" fillId="7" borderId="19" xfId="0" applyFont="1" applyFill="1" applyBorder="1" applyAlignment="1">
      <alignment horizontal="left"/>
    </xf>
    <xf numFmtId="0" fontId="6" fillId="11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1" fontId="6" fillId="0" borderId="19" xfId="0" applyNumberFormat="1" applyFont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164" fontId="7" fillId="0" borderId="19" xfId="0" applyNumberFormat="1" applyFont="1" applyBorder="1" applyAlignment="1">
      <alignment horizontal="left"/>
    </xf>
    <xf numFmtId="164" fontId="6" fillId="0" borderId="19" xfId="0" applyNumberFormat="1" applyFont="1" applyBorder="1" applyAlignment="1">
      <alignment horizontal="left"/>
    </xf>
    <xf numFmtId="164" fontId="8" fillId="0" borderId="19" xfId="0" applyNumberFormat="1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1" fontId="6" fillId="2" borderId="19" xfId="0" applyNumberFormat="1" applyFont="1" applyFill="1" applyBorder="1" applyAlignment="1">
      <alignment horizontal="left"/>
    </xf>
    <xf numFmtId="164" fontId="6" fillId="2" borderId="19" xfId="0" applyNumberFormat="1" applyFont="1" applyFill="1" applyBorder="1" applyAlignment="1">
      <alignment horizontal="left"/>
    </xf>
    <xf numFmtId="164" fontId="8" fillId="2" borderId="19" xfId="0" applyNumberFormat="1" applyFont="1" applyFill="1" applyBorder="1" applyAlignment="1">
      <alignment horizontal="left"/>
    </xf>
    <xf numFmtId="164" fontId="7" fillId="2" borderId="19" xfId="0" applyNumberFormat="1" applyFont="1" applyFill="1" applyBorder="1" applyAlignment="1">
      <alignment horizontal="left"/>
    </xf>
    <xf numFmtId="164" fontId="7" fillId="7" borderId="19" xfId="0" applyNumberFormat="1" applyFont="1" applyFill="1" applyBorder="1" applyAlignment="1">
      <alignment horizontal="left"/>
    </xf>
    <xf numFmtId="164" fontId="8" fillId="7" borderId="19" xfId="0" applyNumberFormat="1" applyFont="1" applyFill="1" applyBorder="1" applyAlignment="1">
      <alignment horizontal="left"/>
    </xf>
    <xf numFmtId="0" fontId="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left"/>
    </xf>
    <xf numFmtId="0" fontId="46" fillId="0" borderId="19" xfId="0" applyFont="1" applyBorder="1"/>
    <xf numFmtId="12" fontId="9" fillId="0" borderId="19" xfId="0" applyNumberFormat="1" applyFont="1" applyBorder="1" applyAlignment="1">
      <alignment horizontal="left"/>
    </xf>
    <xf numFmtId="12" fontId="9" fillId="2" borderId="19" xfId="0" applyNumberFormat="1" applyFont="1" applyFill="1" applyBorder="1" applyAlignment="1">
      <alignment horizontal="left"/>
    </xf>
    <xf numFmtId="12" fontId="9" fillId="0" borderId="19" xfId="6" applyNumberFormat="1" applyFont="1" applyBorder="1" applyAlignment="1">
      <alignment horizontal="left"/>
    </xf>
    <xf numFmtId="0" fontId="9" fillId="2" borderId="19" xfId="6" applyFont="1" applyFill="1" applyBorder="1" applyAlignment="1">
      <alignment horizontal="left"/>
    </xf>
    <xf numFmtId="0" fontId="9" fillId="2" borderId="19" xfId="6" applyFont="1" applyFill="1" applyBorder="1" applyAlignment="1">
      <alignment horizontal="left" vertical="center"/>
    </xf>
    <xf numFmtId="12" fontId="9" fillId="10" borderId="19" xfId="6" applyNumberFormat="1" applyFont="1" applyFill="1" applyBorder="1" applyAlignment="1">
      <alignment horizontal="left"/>
    </xf>
    <xf numFmtId="0" fontId="6" fillId="10" borderId="19" xfId="0" applyFont="1" applyFill="1" applyBorder="1" applyAlignment="1">
      <alignment horizontal="left"/>
    </xf>
    <xf numFmtId="164" fontId="7" fillId="10" borderId="19" xfId="0" applyNumberFormat="1" applyFont="1" applyFill="1" applyBorder="1" applyAlignment="1">
      <alignment horizontal="left"/>
    </xf>
    <xf numFmtId="164" fontId="6" fillId="10" borderId="19" xfId="0" applyNumberFormat="1" applyFont="1" applyFill="1" applyBorder="1" applyAlignment="1">
      <alignment horizontal="left"/>
    </xf>
    <xf numFmtId="164" fontId="8" fillId="10" borderId="19" xfId="0" applyNumberFormat="1" applyFont="1" applyFill="1" applyBorder="1" applyAlignment="1">
      <alignment horizontal="left"/>
    </xf>
    <xf numFmtId="0" fontId="8" fillId="7" borderId="19" xfId="0" applyFont="1" applyFill="1" applyBorder="1" applyAlignment="1">
      <alignment horizontal="left" wrapText="1"/>
    </xf>
    <xf numFmtId="0" fontId="9" fillId="2" borderId="19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/>
    </xf>
    <xf numFmtId="0" fontId="6" fillId="0" borderId="19" xfId="0" applyFont="1" applyBorder="1" applyAlignment="1">
      <alignment horizontal="left" wrapText="1"/>
    </xf>
    <xf numFmtId="3" fontId="6" fillId="0" borderId="19" xfId="0" applyNumberFormat="1" applyFont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9" fillId="0" borderId="19" xfId="0" applyFont="1" applyBorder="1"/>
    <xf numFmtId="0" fontId="47" fillId="0" borderId="19" xfId="0" applyFont="1" applyBorder="1"/>
    <xf numFmtId="1" fontId="8" fillId="7" borderId="19" xfId="0" applyNumberFormat="1" applyFont="1" applyFill="1" applyBorder="1" applyAlignment="1">
      <alignment horizontal="left"/>
    </xf>
    <xf numFmtId="0" fontId="6" fillId="0" borderId="19" xfId="0" applyFont="1" applyBorder="1"/>
    <xf numFmtId="0" fontId="49" fillId="0" borderId="19" xfId="0" applyFont="1" applyBorder="1"/>
    <xf numFmtId="0" fontId="9" fillId="7" borderId="19" xfId="0" applyFont="1" applyFill="1" applyBorder="1" applyAlignment="1">
      <alignment horizontal="left" vertical="center"/>
    </xf>
    <xf numFmtId="0" fontId="50" fillId="0" borderId="19" xfId="0" applyFont="1" applyBorder="1"/>
    <xf numFmtId="12" fontId="6" fillId="0" borderId="19" xfId="0" applyNumberFormat="1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0" fontId="7" fillId="0" borderId="19" xfId="0" applyFont="1" applyBorder="1"/>
    <xf numFmtId="0" fontId="8" fillId="0" borderId="19" xfId="0" applyFont="1" applyBorder="1" applyAlignment="1">
      <alignment horizontal="center"/>
    </xf>
    <xf numFmtId="0" fontId="1" fillId="0" borderId="0" xfId="0" applyFont="1"/>
    <xf numFmtId="0" fontId="33" fillId="2" borderId="0" xfId="7" applyFill="1"/>
    <xf numFmtId="1" fontId="9" fillId="0" borderId="1" xfId="0" applyNumberFormat="1" applyFont="1" applyBorder="1" applyAlignment="1">
      <alignment horizontal="left"/>
    </xf>
    <xf numFmtId="0" fontId="45" fillId="0" borderId="0" xfId="0" applyFont="1" applyAlignment="1">
      <alignment horizontal="left"/>
    </xf>
    <xf numFmtId="0" fontId="39" fillId="8" borderId="0" xfId="0" applyFont="1" applyFill="1" applyAlignment="1">
      <alignment horizontal="center" wrapText="1"/>
    </xf>
    <xf numFmtId="0" fontId="0" fillId="0" borderId="0" xfId="0"/>
  </cellXfs>
  <cellStyles count="8">
    <cellStyle name="Lien hypertexte 2" xfId="7" xr:uid="{FA27CE36-7D1A-449B-B303-C45ACF883017}"/>
    <cellStyle name="Milliers 2" xfId="1" xr:uid="{00000000-0005-0000-0000-000031000000}"/>
    <cellStyle name="Milliers 3" xfId="2" xr:uid="{00000000-0005-0000-0000-000032000000}"/>
    <cellStyle name="Normal" xfId="0" builtinId="0"/>
    <cellStyle name="Normal 2" xfId="3" xr:uid="{00000000-0005-0000-0000-000033000000}"/>
    <cellStyle name="Normal 3" xfId="4" xr:uid="{00000000-0005-0000-0000-000034000000}"/>
    <cellStyle name="Normal 3 2" xfId="5" xr:uid="{00000000-0005-0000-0000-000035000000}"/>
    <cellStyle name="Normal 4" xfId="6" xr:uid="{00000000-0005-0000-0000-000036000000}"/>
  </cellStyles>
  <dxfs count="19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colors>
    <mruColors>
      <color rgb="FFFF99CC"/>
      <color rgb="FFCCFF99"/>
      <color rgb="FFFF7C80"/>
      <color rgb="FFFFCCFF"/>
      <color rgb="FFFF9933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0.png"/><Relationship Id="rId21" Type="http://schemas.openxmlformats.org/officeDocument/2006/relationships/image" Target="../media/image55.png"/><Relationship Id="rId42" Type="http://schemas.openxmlformats.org/officeDocument/2006/relationships/image" Target="../media/image76.png"/><Relationship Id="rId47" Type="http://schemas.openxmlformats.org/officeDocument/2006/relationships/image" Target="../media/image81.png"/><Relationship Id="rId63" Type="http://schemas.openxmlformats.org/officeDocument/2006/relationships/image" Target="../media/image97.png"/><Relationship Id="rId68" Type="http://schemas.openxmlformats.org/officeDocument/2006/relationships/image" Target="../media/image102.png"/><Relationship Id="rId84" Type="http://schemas.openxmlformats.org/officeDocument/2006/relationships/image" Target="../media/image118.png"/><Relationship Id="rId89" Type="http://schemas.openxmlformats.org/officeDocument/2006/relationships/image" Target="../media/image123.png"/><Relationship Id="rId16" Type="http://schemas.openxmlformats.org/officeDocument/2006/relationships/image" Target="../media/image50.jpeg"/><Relationship Id="rId11" Type="http://schemas.openxmlformats.org/officeDocument/2006/relationships/image" Target="../media/image45.jpeg"/><Relationship Id="rId32" Type="http://schemas.openxmlformats.org/officeDocument/2006/relationships/image" Target="../media/image66.png"/><Relationship Id="rId37" Type="http://schemas.openxmlformats.org/officeDocument/2006/relationships/image" Target="../media/image71.png"/><Relationship Id="rId53" Type="http://schemas.openxmlformats.org/officeDocument/2006/relationships/image" Target="../media/image87.png"/><Relationship Id="rId58" Type="http://schemas.openxmlformats.org/officeDocument/2006/relationships/image" Target="../media/image92.png"/><Relationship Id="rId74" Type="http://schemas.openxmlformats.org/officeDocument/2006/relationships/image" Target="../media/image108.png"/><Relationship Id="rId79" Type="http://schemas.openxmlformats.org/officeDocument/2006/relationships/image" Target="../media/image113.png"/><Relationship Id="rId5" Type="http://schemas.openxmlformats.org/officeDocument/2006/relationships/image" Target="../media/image39.jpeg"/><Relationship Id="rId90" Type="http://schemas.openxmlformats.org/officeDocument/2006/relationships/image" Target="../media/image124.png"/><Relationship Id="rId14" Type="http://schemas.openxmlformats.org/officeDocument/2006/relationships/image" Target="../media/image48.jpeg"/><Relationship Id="rId22" Type="http://schemas.openxmlformats.org/officeDocument/2006/relationships/image" Target="../media/image56.png"/><Relationship Id="rId27" Type="http://schemas.openxmlformats.org/officeDocument/2006/relationships/image" Target="../media/image61.png"/><Relationship Id="rId30" Type="http://schemas.openxmlformats.org/officeDocument/2006/relationships/image" Target="../media/image64.png"/><Relationship Id="rId35" Type="http://schemas.openxmlformats.org/officeDocument/2006/relationships/image" Target="../media/image69.png"/><Relationship Id="rId43" Type="http://schemas.openxmlformats.org/officeDocument/2006/relationships/image" Target="../media/image77.png"/><Relationship Id="rId48" Type="http://schemas.openxmlformats.org/officeDocument/2006/relationships/image" Target="../media/image82.png"/><Relationship Id="rId56" Type="http://schemas.openxmlformats.org/officeDocument/2006/relationships/image" Target="../media/image90.png"/><Relationship Id="rId64" Type="http://schemas.openxmlformats.org/officeDocument/2006/relationships/image" Target="../media/image98.png"/><Relationship Id="rId69" Type="http://schemas.openxmlformats.org/officeDocument/2006/relationships/image" Target="../media/image103.png"/><Relationship Id="rId77" Type="http://schemas.openxmlformats.org/officeDocument/2006/relationships/image" Target="../media/image111.png"/><Relationship Id="rId8" Type="http://schemas.openxmlformats.org/officeDocument/2006/relationships/image" Target="../media/image42.jpeg"/><Relationship Id="rId51" Type="http://schemas.openxmlformats.org/officeDocument/2006/relationships/image" Target="../media/image85.png"/><Relationship Id="rId72" Type="http://schemas.openxmlformats.org/officeDocument/2006/relationships/image" Target="../media/image106.png"/><Relationship Id="rId80" Type="http://schemas.openxmlformats.org/officeDocument/2006/relationships/image" Target="../media/image114.png"/><Relationship Id="rId85" Type="http://schemas.openxmlformats.org/officeDocument/2006/relationships/image" Target="../media/image119.png"/><Relationship Id="rId3" Type="http://schemas.openxmlformats.org/officeDocument/2006/relationships/image" Target="../media/image37.jpeg"/><Relationship Id="rId12" Type="http://schemas.openxmlformats.org/officeDocument/2006/relationships/image" Target="../media/image46.jpeg"/><Relationship Id="rId17" Type="http://schemas.openxmlformats.org/officeDocument/2006/relationships/image" Target="../media/image51.png"/><Relationship Id="rId25" Type="http://schemas.openxmlformats.org/officeDocument/2006/relationships/image" Target="../media/image59.png"/><Relationship Id="rId33" Type="http://schemas.openxmlformats.org/officeDocument/2006/relationships/image" Target="../media/image67.png"/><Relationship Id="rId38" Type="http://schemas.openxmlformats.org/officeDocument/2006/relationships/image" Target="../media/image72.png"/><Relationship Id="rId46" Type="http://schemas.openxmlformats.org/officeDocument/2006/relationships/image" Target="../media/image80.png"/><Relationship Id="rId59" Type="http://schemas.openxmlformats.org/officeDocument/2006/relationships/image" Target="../media/image93.png"/><Relationship Id="rId67" Type="http://schemas.openxmlformats.org/officeDocument/2006/relationships/image" Target="../media/image101.png"/><Relationship Id="rId20" Type="http://schemas.openxmlformats.org/officeDocument/2006/relationships/image" Target="../media/image54.png"/><Relationship Id="rId41" Type="http://schemas.openxmlformats.org/officeDocument/2006/relationships/image" Target="../media/image75.png"/><Relationship Id="rId54" Type="http://schemas.openxmlformats.org/officeDocument/2006/relationships/image" Target="../media/image88.png"/><Relationship Id="rId62" Type="http://schemas.openxmlformats.org/officeDocument/2006/relationships/image" Target="../media/image96.png"/><Relationship Id="rId70" Type="http://schemas.openxmlformats.org/officeDocument/2006/relationships/image" Target="../media/image104.png"/><Relationship Id="rId75" Type="http://schemas.openxmlformats.org/officeDocument/2006/relationships/image" Target="../media/image109.png"/><Relationship Id="rId83" Type="http://schemas.openxmlformats.org/officeDocument/2006/relationships/image" Target="../media/image117.png"/><Relationship Id="rId88" Type="http://schemas.openxmlformats.org/officeDocument/2006/relationships/image" Target="../media/image122.png"/><Relationship Id="rId91" Type="http://schemas.openxmlformats.org/officeDocument/2006/relationships/image" Target="../media/image125.png"/><Relationship Id="rId1" Type="http://schemas.openxmlformats.org/officeDocument/2006/relationships/image" Target="../media/image35.jpeg"/><Relationship Id="rId6" Type="http://schemas.openxmlformats.org/officeDocument/2006/relationships/image" Target="../media/image40.jpeg"/><Relationship Id="rId15" Type="http://schemas.openxmlformats.org/officeDocument/2006/relationships/image" Target="../media/image49.jpeg"/><Relationship Id="rId23" Type="http://schemas.openxmlformats.org/officeDocument/2006/relationships/image" Target="../media/image57.png"/><Relationship Id="rId28" Type="http://schemas.openxmlformats.org/officeDocument/2006/relationships/image" Target="../media/image62.png"/><Relationship Id="rId36" Type="http://schemas.openxmlformats.org/officeDocument/2006/relationships/image" Target="../media/image70.png"/><Relationship Id="rId49" Type="http://schemas.openxmlformats.org/officeDocument/2006/relationships/image" Target="../media/image83.png"/><Relationship Id="rId57" Type="http://schemas.openxmlformats.org/officeDocument/2006/relationships/image" Target="../media/image91.png"/><Relationship Id="rId10" Type="http://schemas.openxmlformats.org/officeDocument/2006/relationships/image" Target="../media/image44.jpeg"/><Relationship Id="rId31" Type="http://schemas.openxmlformats.org/officeDocument/2006/relationships/image" Target="../media/image65.png"/><Relationship Id="rId44" Type="http://schemas.openxmlformats.org/officeDocument/2006/relationships/image" Target="../media/image78.png"/><Relationship Id="rId52" Type="http://schemas.openxmlformats.org/officeDocument/2006/relationships/image" Target="../media/image86.png"/><Relationship Id="rId60" Type="http://schemas.openxmlformats.org/officeDocument/2006/relationships/image" Target="../media/image94.png"/><Relationship Id="rId65" Type="http://schemas.openxmlformats.org/officeDocument/2006/relationships/image" Target="../media/image99.png"/><Relationship Id="rId73" Type="http://schemas.openxmlformats.org/officeDocument/2006/relationships/image" Target="../media/image107.png"/><Relationship Id="rId78" Type="http://schemas.openxmlformats.org/officeDocument/2006/relationships/image" Target="../media/image112.png"/><Relationship Id="rId81" Type="http://schemas.openxmlformats.org/officeDocument/2006/relationships/image" Target="../media/image115.png"/><Relationship Id="rId86" Type="http://schemas.openxmlformats.org/officeDocument/2006/relationships/image" Target="../media/image120.png"/><Relationship Id="rId4" Type="http://schemas.openxmlformats.org/officeDocument/2006/relationships/image" Target="../media/image38.jpeg"/><Relationship Id="rId9" Type="http://schemas.openxmlformats.org/officeDocument/2006/relationships/image" Target="../media/image43.jpeg"/><Relationship Id="rId13" Type="http://schemas.openxmlformats.org/officeDocument/2006/relationships/image" Target="../media/image47.jpeg"/><Relationship Id="rId18" Type="http://schemas.openxmlformats.org/officeDocument/2006/relationships/image" Target="../media/image52.png"/><Relationship Id="rId39" Type="http://schemas.openxmlformats.org/officeDocument/2006/relationships/image" Target="../media/image73.png"/><Relationship Id="rId34" Type="http://schemas.openxmlformats.org/officeDocument/2006/relationships/image" Target="../media/image68.png"/><Relationship Id="rId50" Type="http://schemas.openxmlformats.org/officeDocument/2006/relationships/image" Target="../media/image84.png"/><Relationship Id="rId55" Type="http://schemas.openxmlformats.org/officeDocument/2006/relationships/image" Target="../media/image89.png"/><Relationship Id="rId76" Type="http://schemas.openxmlformats.org/officeDocument/2006/relationships/image" Target="../media/image110.png"/><Relationship Id="rId7" Type="http://schemas.openxmlformats.org/officeDocument/2006/relationships/image" Target="../media/image41.jpeg"/><Relationship Id="rId71" Type="http://schemas.openxmlformats.org/officeDocument/2006/relationships/image" Target="../media/image105.png"/><Relationship Id="rId2" Type="http://schemas.openxmlformats.org/officeDocument/2006/relationships/image" Target="../media/image36.jpeg"/><Relationship Id="rId29" Type="http://schemas.openxmlformats.org/officeDocument/2006/relationships/image" Target="../media/image63.png"/><Relationship Id="rId24" Type="http://schemas.openxmlformats.org/officeDocument/2006/relationships/image" Target="../media/image58.png"/><Relationship Id="rId40" Type="http://schemas.openxmlformats.org/officeDocument/2006/relationships/image" Target="../media/image74.png"/><Relationship Id="rId45" Type="http://schemas.openxmlformats.org/officeDocument/2006/relationships/image" Target="../media/image79.png"/><Relationship Id="rId66" Type="http://schemas.openxmlformats.org/officeDocument/2006/relationships/image" Target="../media/image100.png"/><Relationship Id="rId87" Type="http://schemas.openxmlformats.org/officeDocument/2006/relationships/image" Target="../media/image121.png"/><Relationship Id="rId61" Type="http://schemas.openxmlformats.org/officeDocument/2006/relationships/image" Target="../media/image95.png"/><Relationship Id="rId82" Type="http://schemas.openxmlformats.org/officeDocument/2006/relationships/image" Target="../media/image116.png"/><Relationship Id="rId19" Type="http://schemas.openxmlformats.org/officeDocument/2006/relationships/image" Target="../media/image5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8.png"/><Relationship Id="rId2" Type="http://schemas.openxmlformats.org/officeDocument/2006/relationships/image" Target="../media/image127.png"/><Relationship Id="rId1" Type="http://schemas.openxmlformats.org/officeDocument/2006/relationships/image" Target="../media/image126.png"/><Relationship Id="rId5" Type="http://schemas.openxmlformats.org/officeDocument/2006/relationships/image" Target="../media/image130.png"/><Relationship Id="rId4" Type="http://schemas.openxmlformats.org/officeDocument/2006/relationships/image" Target="../media/image12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8.png"/><Relationship Id="rId13" Type="http://schemas.openxmlformats.org/officeDocument/2006/relationships/image" Target="../media/image143.png"/><Relationship Id="rId18" Type="http://schemas.openxmlformats.org/officeDocument/2006/relationships/image" Target="../media/image148.png"/><Relationship Id="rId3" Type="http://schemas.openxmlformats.org/officeDocument/2006/relationships/image" Target="../media/image133.jpeg"/><Relationship Id="rId7" Type="http://schemas.openxmlformats.org/officeDocument/2006/relationships/image" Target="../media/image137.png"/><Relationship Id="rId12" Type="http://schemas.openxmlformats.org/officeDocument/2006/relationships/image" Target="../media/image142.png"/><Relationship Id="rId17" Type="http://schemas.openxmlformats.org/officeDocument/2006/relationships/image" Target="../media/image147.png"/><Relationship Id="rId2" Type="http://schemas.openxmlformats.org/officeDocument/2006/relationships/image" Target="../media/image132.jpeg"/><Relationship Id="rId16" Type="http://schemas.openxmlformats.org/officeDocument/2006/relationships/image" Target="../media/image146.png"/><Relationship Id="rId1" Type="http://schemas.openxmlformats.org/officeDocument/2006/relationships/image" Target="../media/image131.jpeg"/><Relationship Id="rId6" Type="http://schemas.openxmlformats.org/officeDocument/2006/relationships/image" Target="../media/image136.png"/><Relationship Id="rId11" Type="http://schemas.openxmlformats.org/officeDocument/2006/relationships/image" Target="../media/image141.png"/><Relationship Id="rId5" Type="http://schemas.openxmlformats.org/officeDocument/2006/relationships/image" Target="../media/image135.png"/><Relationship Id="rId15" Type="http://schemas.openxmlformats.org/officeDocument/2006/relationships/image" Target="../media/image145.png"/><Relationship Id="rId10" Type="http://schemas.openxmlformats.org/officeDocument/2006/relationships/image" Target="../media/image140.png"/><Relationship Id="rId19" Type="http://schemas.openxmlformats.org/officeDocument/2006/relationships/image" Target="../media/image149.png"/><Relationship Id="rId4" Type="http://schemas.openxmlformats.org/officeDocument/2006/relationships/image" Target="../media/image134.emf"/><Relationship Id="rId9" Type="http://schemas.openxmlformats.org/officeDocument/2006/relationships/image" Target="../media/image139.png"/><Relationship Id="rId14" Type="http://schemas.openxmlformats.org/officeDocument/2006/relationships/image" Target="../media/image14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2.png"/><Relationship Id="rId2" Type="http://schemas.openxmlformats.org/officeDocument/2006/relationships/image" Target="../media/image151.png"/><Relationship Id="rId1" Type="http://schemas.openxmlformats.org/officeDocument/2006/relationships/image" Target="../media/image150.png"/><Relationship Id="rId6" Type="http://schemas.openxmlformats.org/officeDocument/2006/relationships/image" Target="../media/image155.png"/><Relationship Id="rId5" Type="http://schemas.openxmlformats.org/officeDocument/2006/relationships/image" Target="../media/image154.png"/><Relationship Id="rId4" Type="http://schemas.openxmlformats.org/officeDocument/2006/relationships/image" Target="../media/image15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3.png"/><Relationship Id="rId3" Type="http://schemas.openxmlformats.org/officeDocument/2006/relationships/image" Target="../media/image158.jpeg"/><Relationship Id="rId7" Type="http://schemas.openxmlformats.org/officeDocument/2006/relationships/image" Target="../media/image162.png"/><Relationship Id="rId2" Type="http://schemas.openxmlformats.org/officeDocument/2006/relationships/image" Target="../media/image157.jpeg"/><Relationship Id="rId1" Type="http://schemas.openxmlformats.org/officeDocument/2006/relationships/image" Target="../media/image156.jpeg"/><Relationship Id="rId6" Type="http://schemas.openxmlformats.org/officeDocument/2006/relationships/image" Target="../media/image161.emf"/><Relationship Id="rId11" Type="http://schemas.openxmlformats.org/officeDocument/2006/relationships/image" Target="../media/image166.png"/><Relationship Id="rId5" Type="http://schemas.openxmlformats.org/officeDocument/2006/relationships/image" Target="../media/image160.emf"/><Relationship Id="rId10" Type="http://schemas.openxmlformats.org/officeDocument/2006/relationships/image" Target="../media/image165.png"/><Relationship Id="rId4" Type="http://schemas.openxmlformats.org/officeDocument/2006/relationships/image" Target="../media/image159.jpeg"/><Relationship Id="rId9" Type="http://schemas.openxmlformats.org/officeDocument/2006/relationships/image" Target="../media/image16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8.png"/><Relationship Id="rId1" Type="http://schemas.openxmlformats.org/officeDocument/2006/relationships/image" Target="../media/image16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</xdr:row>
      <xdr:rowOff>44450</xdr:rowOff>
    </xdr:from>
    <xdr:ext cx="690418" cy="677038"/>
    <xdr:pic>
      <xdr:nvPicPr>
        <xdr:cNvPr id="2" name="Image 1">
          <a:extLst>
            <a:ext uri="{FF2B5EF4-FFF2-40B4-BE49-F238E27FC236}">
              <a16:creationId xmlns:a16="http://schemas.microsoft.com/office/drawing/2014/main" id="{9955C8D5-D743-42EF-A749-66871BA87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425450"/>
          <a:ext cx="690418" cy="677038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147206</xdr:colOff>
      <xdr:row>4</xdr:row>
      <xdr:rowOff>111497</xdr:rowOff>
    </xdr:from>
    <xdr:ext cx="641350" cy="620872"/>
    <xdr:pic>
      <xdr:nvPicPr>
        <xdr:cNvPr id="3" name="Image 2">
          <a:extLst>
            <a:ext uri="{FF2B5EF4-FFF2-40B4-BE49-F238E27FC236}">
              <a16:creationId xmlns:a16="http://schemas.microsoft.com/office/drawing/2014/main" id="{533E0F4E-54AB-430F-8EF7-5B1F4A9D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7206" y="873497"/>
          <a:ext cx="641350" cy="62087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80818</xdr:colOff>
      <xdr:row>8</xdr:row>
      <xdr:rowOff>139864</xdr:rowOff>
    </xdr:from>
    <xdr:ext cx="842818" cy="841742"/>
    <xdr:pic>
      <xdr:nvPicPr>
        <xdr:cNvPr id="4" name="Image 3">
          <a:extLst>
            <a:ext uri="{FF2B5EF4-FFF2-40B4-BE49-F238E27FC236}">
              <a16:creationId xmlns:a16="http://schemas.microsoft.com/office/drawing/2014/main" id="{63D2E1A4-BAB0-494C-8A1B-3BB5F5FAA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818" y="1663864"/>
          <a:ext cx="842818" cy="84174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57727</xdr:colOff>
      <xdr:row>10</xdr:row>
      <xdr:rowOff>49480</xdr:rowOff>
    </xdr:from>
    <xdr:ext cx="889000" cy="885771"/>
    <xdr:pic>
      <xdr:nvPicPr>
        <xdr:cNvPr id="5" name="Image 4">
          <a:extLst>
            <a:ext uri="{FF2B5EF4-FFF2-40B4-BE49-F238E27FC236}">
              <a16:creationId xmlns:a16="http://schemas.microsoft.com/office/drawing/2014/main" id="{F1C1A023-7EC3-460C-92A0-D901713D2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727" y="1954480"/>
          <a:ext cx="889000" cy="88577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45357</xdr:colOff>
      <xdr:row>12</xdr:row>
      <xdr:rowOff>86177</xdr:rowOff>
    </xdr:from>
    <xdr:ext cx="635000" cy="631700"/>
    <xdr:pic>
      <xdr:nvPicPr>
        <xdr:cNvPr id="6" name="Image 5">
          <a:extLst>
            <a:ext uri="{FF2B5EF4-FFF2-40B4-BE49-F238E27FC236}">
              <a16:creationId xmlns:a16="http://schemas.microsoft.com/office/drawing/2014/main" id="{6B80130C-DFE5-4530-811F-F6FC7D8A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357" y="2372177"/>
          <a:ext cx="635000" cy="631700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9072</xdr:colOff>
      <xdr:row>14</xdr:row>
      <xdr:rowOff>21771</xdr:rowOff>
    </xdr:from>
    <xdr:ext cx="717550" cy="727739"/>
    <xdr:pic>
      <xdr:nvPicPr>
        <xdr:cNvPr id="7" name="Image 6">
          <a:extLst>
            <a:ext uri="{FF2B5EF4-FFF2-40B4-BE49-F238E27FC236}">
              <a16:creationId xmlns:a16="http://schemas.microsoft.com/office/drawing/2014/main" id="{B2EA9F96-47D9-46FE-A99D-FA6C7DE94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72" y="2688771"/>
          <a:ext cx="717550" cy="72773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27215</xdr:colOff>
      <xdr:row>16</xdr:row>
      <xdr:rowOff>0</xdr:rowOff>
    </xdr:from>
    <xdr:ext cx="698500" cy="706747"/>
    <xdr:pic>
      <xdr:nvPicPr>
        <xdr:cNvPr id="8" name="Image 7">
          <a:extLst>
            <a:ext uri="{FF2B5EF4-FFF2-40B4-BE49-F238E27FC236}">
              <a16:creationId xmlns:a16="http://schemas.microsoft.com/office/drawing/2014/main" id="{EB914701-E358-488F-8374-F2BE4157B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7215" y="3048000"/>
          <a:ext cx="698500" cy="706747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16</xdr:row>
      <xdr:rowOff>20865</xdr:rowOff>
    </xdr:from>
    <xdr:ext cx="717550" cy="706577"/>
    <xdr:pic>
      <xdr:nvPicPr>
        <xdr:cNvPr id="9" name="Image 8">
          <a:extLst>
            <a:ext uri="{FF2B5EF4-FFF2-40B4-BE49-F238E27FC236}">
              <a16:creationId xmlns:a16="http://schemas.microsoft.com/office/drawing/2014/main" id="{F9A45191-4D54-409C-88D0-0230CDB26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3068865"/>
          <a:ext cx="717550" cy="706577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18142</xdr:colOff>
      <xdr:row>18</xdr:row>
      <xdr:rowOff>0</xdr:rowOff>
    </xdr:from>
    <xdr:ext cx="679450" cy="679450"/>
    <xdr:pic>
      <xdr:nvPicPr>
        <xdr:cNvPr id="10" name="Image 9">
          <a:extLst>
            <a:ext uri="{FF2B5EF4-FFF2-40B4-BE49-F238E27FC236}">
              <a16:creationId xmlns:a16="http://schemas.microsoft.com/office/drawing/2014/main" id="{FB2DC861-3651-4D3B-BBD4-8ED535248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142" y="3429000"/>
          <a:ext cx="679450" cy="679450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48078</xdr:colOff>
      <xdr:row>18</xdr:row>
      <xdr:rowOff>58964</xdr:rowOff>
    </xdr:from>
    <xdr:ext cx="615950" cy="614301"/>
    <xdr:pic>
      <xdr:nvPicPr>
        <xdr:cNvPr id="11" name="Image 10">
          <a:extLst>
            <a:ext uri="{FF2B5EF4-FFF2-40B4-BE49-F238E27FC236}">
              <a16:creationId xmlns:a16="http://schemas.microsoft.com/office/drawing/2014/main" id="{B31D9B04-8008-4F87-BE92-66D37A6F7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8078" y="3487964"/>
          <a:ext cx="615950" cy="61430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10885</xdr:colOff>
      <xdr:row>20</xdr:row>
      <xdr:rowOff>24492</xdr:rowOff>
    </xdr:from>
    <xdr:ext cx="692150" cy="684421"/>
    <xdr:pic>
      <xdr:nvPicPr>
        <xdr:cNvPr id="12" name="Image 11">
          <a:extLst>
            <a:ext uri="{FF2B5EF4-FFF2-40B4-BE49-F238E27FC236}">
              <a16:creationId xmlns:a16="http://schemas.microsoft.com/office/drawing/2014/main" id="{C2144DE4-0AB7-439B-96EF-0DAFD97F0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85" y="3834492"/>
          <a:ext cx="692150" cy="68442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125350</xdr:colOff>
      <xdr:row>22</xdr:row>
      <xdr:rowOff>99785</xdr:rowOff>
    </xdr:from>
    <xdr:ext cx="544286" cy="544286"/>
    <xdr:pic>
      <xdr:nvPicPr>
        <xdr:cNvPr id="13" name="Image 12">
          <a:extLst>
            <a:ext uri="{FF2B5EF4-FFF2-40B4-BE49-F238E27FC236}">
              <a16:creationId xmlns:a16="http://schemas.microsoft.com/office/drawing/2014/main" id="{8E5E589B-4150-43ED-AF44-2217C38B0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350" y="4290785"/>
          <a:ext cx="544286" cy="544286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81644</xdr:colOff>
      <xdr:row>24</xdr:row>
      <xdr:rowOff>34474</xdr:rowOff>
    </xdr:from>
    <xdr:ext cx="607785" cy="607785"/>
    <xdr:pic>
      <xdr:nvPicPr>
        <xdr:cNvPr id="14" name="Image 13">
          <a:extLst>
            <a:ext uri="{FF2B5EF4-FFF2-40B4-BE49-F238E27FC236}">
              <a16:creationId xmlns:a16="http://schemas.microsoft.com/office/drawing/2014/main" id="{3F340011-8A78-48B0-B0C1-BCCD39C45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1644" y="4606474"/>
          <a:ext cx="607785" cy="60778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108856</xdr:colOff>
      <xdr:row>26</xdr:row>
      <xdr:rowOff>81643</xdr:rowOff>
    </xdr:from>
    <xdr:ext cx="560613" cy="555232"/>
    <xdr:pic>
      <xdr:nvPicPr>
        <xdr:cNvPr id="15" name="Image 14">
          <a:extLst>
            <a:ext uri="{FF2B5EF4-FFF2-40B4-BE49-F238E27FC236}">
              <a16:creationId xmlns:a16="http://schemas.microsoft.com/office/drawing/2014/main" id="{2247AB5F-DD7C-45CD-903A-552EF8BEA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8856" y="5034643"/>
          <a:ext cx="560613" cy="55523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45357</xdr:colOff>
      <xdr:row>28</xdr:row>
      <xdr:rowOff>54429</xdr:rowOff>
    </xdr:from>
    <xdr:ext cx="642255" cy="642255"/>
    <xdr:pic>
      <xdr:nvPicPr>
        <xdr:cNvPr id="16" name="Image 15">
          <a:extLst>
            <a:ext uri="{FF2B5EF4-FFF2-40B4-BE49-F238E27FC236}">
              <a16:creationId xmlns:a16="http://schemas.microsoft.com/office/drawing/2014/main" id="{CFCFFFBB-ACD6-449B-AF39-193D280C5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5357" y="5388429"/>
          <a:ext cx="642255" cy="64225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92364</xdr:colOff>
      <xdr:row>6</xdr:row>
      <xdr:rowOff>92364</xdr:rowOff>
    </xdr:from>
    <xdr:ext cx="750455" cy="747325"/>
    <xdr:pic>
      <xdr:nvPicPr>
        <xdr:cNvPr id="17" name="Image 16">
          <a:extLst>
            <a:ext uri="{FF2B5EF4-FFF2-40B4-BE49-F238E27FC236}">
              <a16:creationId xmlns:a16="http://schemas.microsoft.com/office/drawing/2014/main" id="{0188532D-51CD-4F67-A26C-CE7F8575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364" y="1235364"/>
          <a:ext cx="750455" cy="7473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219363</xdr:colOff>
      <xdr:row>86</xdr:row>
      <xdr:rowOff>0</xdr:rowOff>
    </xdr:from>
    <xdr:ext cx="939848" cy="933498"/>
    <xdr:pic>
      <xdr:nvPicPr>
        <xdr:cNvPr id="18" name="Image 17">
          <a:extLst>
            <a:ext uri="{FF2B5EF4-FFF2-40B4-BE49-F238E27FC236}">
              <a16:creationId xmlns:a16="http://schemas.microsoft.com/office/drawing/2014/main" id="{C7F559EE-0BB0-430F-B354-D67D99AE4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363" y="16002000"/>
          <a:ext cx="939848" cy="933498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184728</xdr:colOff>
      <xdr:row>86</xdr:row>
      <xdr:rowOff>0</xdr:rowOff>
    </xdr:from>
    <xdr:ext cx="958899" cy="972079"/>
    <xdr:pic>
      <xdr:nvPicPr>
        <xdr:cNvPr id="19" name="Image 18">
          <a:extLst>
            <a:ext uri="{FF2B5EF4-FFF2-40B4-BE49-F238E27FC236}">
              <a16:creationId xmlns:a16="http://schemas.microsoft.com/office/drawing/2014/main" id="{636FD055-8E01-4AE5-9A8F-E5A228376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4728" y="16002000"/>
          <a:ext cx="958899" cy="97207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219364</xdr:colOff>
      <xdr:row>86</xdr:row>
      <xdr:rowOff>889000</xdr:rowOff>
    </xdr:from>
    <xdr:ext cx="920797" cy="971520"/>
    <xdr:pic>
      <xdr:nvPicPr>
        <xdr:cNvPr id="20" name="Image 19">
          <a:extLst>
            <a:ext uri="{FF2B5EF4-FFF2-40B4-BE49-F238E27FC236}">
              <a16:creationId xmlns:a16="http://schemas.microsoft.com/office/drawing/2014/main" id="{67E26D8F-C003-41D5-8403-1EDA7BE5E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364" y="16195675"/>
          <a:ext cx="920797" cy="971520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267194</xdr:colOff>
      <xdr:row>112</xdr:row>
      <xdr:rowOff>129068</xdr:rowOff>
    </xdr:from>
    <xdr:ext cx="860961" cy="1250155"/>
    <xdr:pic>
      <xdr:nvPicPr>
        <xdr:cNvPr id="21" name="Image 20">
          <a:extLst>
            <a:ext uri="{FF2B5EF4-FFF2-40B4-BE49-F238E27FC236}">
              <a16:creationId xmlns:a16="http://schemas.microsoft.com/office/drawing/2014/main" id="{6E709D3A-72D3-4725-BB9F-1589F7E14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67194" y="21084068"/>
          <a:ext cx="860961" cy="125015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260598</xdr:colOff>
      <xdr:row>106</xdr:row>
      <xdr:rowOff>278739</xdr:rowOff>
    </xdr:from>
    <xdr:ext cx="865948" cy="1427876"/>
    <xdr:pic>
      <xdr:nvPicPr>
        <xdr:cNvPr id="22" name="Image 21">
          <a:extLst>
            <a:ext uri="{FF2B5EF4-FFF2-40B4-BE49-F238E27FC236}">
              <a16:creationId xmlns:a16="http://schemas.microsoft.com/office/drawing/2014/main" id="{A8C591E2-DD82-40DE-A018-259F477EC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60598" y="20005014"/>
          <a:ext cx="865948" cy="1427876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229260</xdr:colOff>
      <xdr:row>114</xdr:row>
      <xdr:rowOff>64325</xdr:rowOff>
    </xdr:from>
    <xdr:ext cx="957327" cy="1582913"/>
    <xdr:pic>
      <xdr:nvPicPr>
        <xdr:cNvPr id="23" name="Image 22">
          <a:extLst>
            <a:ext uri="{FF2B5EF4-FFF2-40B4-BE49-F238E27FC236}">
              <a16:creationId xmlns:a16="http://schemas.microsoft.com/office/drawing/2014/main" id="{63FDBECA-0591-4B57-9D36-38D5A27A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9260" y="21400325"/>
          <a:ext cx="957327" cy="158291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295233</xdr:colOff>
      <xdr:row>109</xdr:row>
      <xdr:rowOff>89869</xdr:rowOff>
    </xdr:from>
    <xdr:ext cx="941780" cy="1520590"/>
    <xdr:pic>
      <xdr:nvPicPr>
        <xdr:cNvPr id="24" name="Image 23">
          <a:extLst>
            <a:ext uri="{FF2B5EF4-FFF2-40B4-BE49-F238E27FC236}">
              <a16:creationId xmlns:a16="http://schemas.microsoft.com/office/drawing/2014/main" id="{C5CA0906-E04D-4903-B1A8-7C0C9B938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5233" y="20473369"/>
          <a:ext cx="941780" cy="1520590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204273</xdr:colOff>
      <xdr:row>128</xdr:row>
      <xdr:rowOff>27733</xdr:rowOff>
    </xdr:from>
    <xdr:ext cx="876522" cy="775155"/>
    <xdr:pic>
      <xdr:nvPicPr>
        <xdr:cNvPr id="25" name="Image 24">
          <a:extLst>
            <a:ext uri="{FF2B5EF4-FFF2-40B4-BE49-F238E27FC236}">
              <a16:creationId xmlns:a16="http://schemas.microsoft.com/office/drawing/2014/main" id="{90A9ECC2-CCAA-4814-A44F-F8EFE4023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4273" y="24030733"/>
          <a:ext cx="876522" cy="77515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324994</xdr:colOff>
      <xdr:row>127</xdr:row>
      <xdr:rowOff>50113</xdr:rowOff>
    </xdr:from>
    <xdr:ext cx="643862" cy="704111"/>
    <xdr:pic>
      <xdr:nvPicPr>
        <xdr:cNvPr id="26" name="Image 25">
          <a:extLst>
            <a:ext uri="{FF2B5EF4-FFF2-40B4-BE49-F238E27FC236}">
              <a16:creationId xmlns:a16="http://schemas.microsoft.com/office/drawing/2014/main" id="{376D7634-FEE5-4EE2-B21E-28F6C8702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4994" y="23862613"/>
          <a:ext cx="643862" cy="70411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369926</xdr:colOff>
      <xdr:row>128</xdr:row>
      <xdr:rowOff>878632</xdr:rowOff>
    </xdr:from>
    <xdr:ext cx="671270" cy="750475"/>
    <xdr:pic>
      <xdr:nvPicPr>
        <xdr:cNvPr id="27" name="Image 26">
          <a:extLst>
            <a:ext uri="{FF2B5EF4-FFF2-40B4-BE49-F238E27FC236}">
              <a16:creationId xmlns:a16="http://schemas.microsoft.com/office/drawing/2014/main" id="{608E442E-7ED9-49F3-AE3F-B86942F46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69926" y="24195832"/>
          <a:ext cx="671270" cy="75047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349899</xdr:colOff>
      <xdr:row>38</xdr:row>
      <xdr:rowOff>256924</xdr:rowOff>
    </xdr:from>
    <xdr:ext cx="769775" cy="1219370"/>
    <xdr:pic>
      <xdr:nvPicPr>
        <xdr:cNvPr id="28" name="Image 27">
          <a:extLst>
            <a:ext uri="{FF2B5EF4-FFF2-40B4-BE49-F238E27FC236}">
              <a16:creationId xmlns:a16="http://schemas.microsoft.com/office/drawing/2014/main" id="{4CB6F2AB-9107-4586-A8DD-8BAC269DE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49899" y="7429249"/>
          <a:ext cx="769775" cy="1219370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435193</xdr:colOff>
      <xdr:row>41</xdr:row>
      <xdr:rowOff>1414</xdr:rowOff>
    </xdr:from>
    <xdr:ext cx="600364" cy="1050752"/>
    <xdr:pic>
      <xdr:nvPicPr>
        <xdr:cNvPr id="29" name="Image 28">
          <a:extLst>
            <a:ext uri="{FF2B5EF4-FFF2-40B4-BE49-F238E27FC236}">
              <a16:creationId xmlns:a16="http://schemas.microsoft.com/office/drawing/2014/main" id="{006E5B08-B358-43E1-8D61-6D6014D9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5193" y="7811914"/>
          <a:ext cx="600364" cy="105075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433624</xdr:colOff>
      <xdr:row>42</xdr:row>
      <xdr:rowOff>227387</xdr:rowOff>
    </xdr:from>
    <xdr:ext cx="554181" cy="995747"/>
    <xdr:pic>
      <xdr:nvPicPr>
        <xdr:cNvPr id="30" name="Image 29">
          <a:extLst>
            <a:ext uri="{FF2B5EF4-FFF2-40B4-BE49-F238E27FC236}">
              <a16:creationId xmlns:a16="http://schemas.microsoft.com/office/drawing/2014/main" id="{8B00E0D1-538E-4A44-BAE6-D262C4E8F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3624" y="8190287"/>
          <a:ext cx="554181" cy="995747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177189</xdr:colOff>
      <xdr:row>129</xdr:row>
      <xdr:rowOff>798133</xdr:rowOff>
    </xdr:from>
    <xdr:ext cx="929762" cy="939972"/>
    <xdr:pic>
      <xdr:nvPicPr>
        <xdr:cNvPr id="31" name="Image 30">
          <a:extLst>
            <a:ext uri="{FF2B5EF4-FFF2-40B4-BE49-F238E27FC236}">
              <a16:creationId xmlns:a16="http://schemas.microsoft.com/office/drawing/2014/main" id="{84190B12-7190-428C-9D8D-DB4A1655A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7189" y="24382033"/>
          <a:ext cx="929762" cy="93997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171566</xdr:colOff>
      <xdr:row>120</xdr:row>
      <xdr:rowOff>80817</xdr:rowOff>
    </xdr:from>
    <xdr:ext cx="1137869" cy="1535226"/>
    <xdr:pic>
      <xdr:nvPicPr>
        <xdr:cNvPr id="32" name="Image 31">
          <a:extLst>
            <a:ext uri="{FF2B5EF4-FFF2-40B4-BE49-F238E27FC236}">
              <a16:creationId xmlns:a16="http://schemas.microsoft.com/office/drawing/2014/main" id="{34BD689A-3BE2-42FC-8243-75C72707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1566" y="22559817"/>
          <a:ext cx="1137869" cy="1535226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227609</xdr:colOff>
      <xdr:row>122</xdr:row>
      <xdr:rowOff>47</xdr:rowOff>
    </xdr:from>
    <xdr:ext cx="1016715" cy="1511177"/>
    <xdr:pic>
      <xdr:nvPicPr>
        <xdr:cNvPr id="33" name="Image 32">
          <a:extLst>
            <a:ext uri="{FF2B5EF4-FFF2-40B4-BE49-F238E27FC236}">
              <a16:creationId xmlns:a16="http://schemas.microsoft.com/office/drawing/2014/main" id="{479E9A6E-1EEA-4088-986E-E314BEAEB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27609" y="22860047"/>
          <a:ext cx="1016715" cy="1511177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210767</xdr:colOff>
      <xdr:row>139</xdr:row>
      <xdr:rowOff>16213</xdr:rowOff>
    </xdr:from>
    <xdr:ext cx="940340" cy="1154719"/>
    <xdr:pic>
      <xdr:nvPicPr>
        <xdr:cNvPr id="34" name="Image 33">
          <a:extLst>
            <a:ext uri="{FF2B5EF4-FFF2-40B4-BE49-F238E27FC236}">
              <a16:creationId xmlns:a16="http://schemas.microsoft.com/office/drawing/2014/main" id="{8C9F41EC-44E0-45BE-B738-84BFACA0C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10767" y="26114713"/>
          <a:ext cx="940340" cy="115471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194553</xdr:colOff>
      <xdr:row>147</xdr:row>
      <xdr:rowOff>48638</xdr:rowOff>
    </xdr:from>
    <xdr:ext cx="1021404" cy="1508893"/>
    <xdr:pic>
      <xdr:nvPicPr>
        <xdr:cNvPr id="35" name="Image 34">
          <a:extLst>
            <a:ext uri="{FF2B5EF4-FFF2-40B4-BE49-F238E27FC236}">
              <a16:creationId xmlns:a16="http://schemas.microsoft.com/office/drawing/2014/main" id="{270F54A9-A1C0-4041-8F56-25E3BE199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4553" y="27671138"/>
          <a:ext cx="1021404" cy="150889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469947</xdr:colOff>
      <xdr:row>52</xdr:row>
      <xdr:rowOff>55413</xdr:rowOff>
    </xdr:from>
    <xdr:ext cx="662352" cy="1129904"/>
    <xdr:pic>
      <xdr:nvPicPr>
        <xdr:cNvPr id="36" name="Image 35">
          <a:extLst>
            <a:ext uri="{FF2B5EF4-FFF2-40B4-BE49-F238E27FC236}">
              <a16:creationId xmlns:a16="http://schemas.microsoft.com/office/drawing/2014/main" id="{073BDD74-3E5E-4BED-BD80-78274E22F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9947" y="9580413"/>
          <a:ext cx="662352" cy="1129904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450038</xdr:colOff>
      <xdr:row>54</xdr:row>
      <xdr:rowOff>16042</xdr:rowOff>
    </xdr:from>
    <xdr:ext cx="640825" cy="1132181"/>
    <xdr:pic>
      <xdr:nvPicPr>
        <xdr:cNvPr id="37" name="Image 36">
          <a:extLst>
            <a:ext uri="{FF2B5EF4-FFF2-40B4-BE49-F238E27FC236}">
              <a16:creationId xmlns:a16="http://schemas.microsoft.com/office/drawing/2014/main" id="{9C730F62-24AB-43BF-AFA3-5C44C36EF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50038" y="9922042"/>
          <a:ext cx="640825" cy="113218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497306</xdr:colOff>
      <xdr:row>55</xdr:row>
      <xdr:rowOff>37763</xdr:rowOff>
    </xdr:from>
    <xdr:ext cx="633664" cy="1162831"/>
    <xdr:pic>
      <xdr:nvPicPr>
        <xdr:cNvPr id="38" name="Image 37">
          <a:extLst>
            <a:ext uri="{FF2B5EF4-FFF2-40B4-BE49-F238E27FC236}">
              <a16:creationId xmlns:a16="http://schemas.microsoft.com/office/drawing/2014/main" id="{4EC67DB5-7668-4873-8773-BCD4E221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7306" y="10134263"/>
          <a:ext cx="633664" cy="116283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494857</xdr:colOff>
      <xdr:row>58</xdr:row>
      <xdr:rowOff>32085</xdr:rowOff>
    </xdr:from>
    <xdr:ext cx="659070" cy="1113534"/>
    <xdr:pic>
      <xdr:nvPicPr>
        <xdr:cNvPr id="39" name="Image 38">
          <a:extLst>
            <a:ext uri="{FF2B5EF4-FFF2-40B4-BE49-F238E27FC236}">
              <a16:creationId xmlns:a16="http://schemas.microsoft.com/office/drawing/2014/main" id="{7AC27C48-F333-44A4-A9AD-DBB756270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94857" y="10700085"/>
          <a:ext cx="659070" cy="1113534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480230</xdr:colOff>
      <xdr:row>59</xdr:row>
      <xdr:rowOff>198594</xdr:rowOff>
    </xdr:from>
    <xdr:ext cx="682821" cy="1205329"/>
    <xdr:pic>
      <xdr:nvPicPr>
        <xdr:cNvPr id="40" name="Image 39">
          <a:extLst>
            <a:ext uri="{FF2B5EF4-FFF2-40B4-BE49-F238E27FC236}">
              <a16:creationId xmlns:a16="http://schemas.microsoft.com/office/drawing/2014/main" id="{65340E70-5472-480D-8C6C-3CAFC410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80230" y="11047569"/>
          <a:ext cx="682821" cy="12053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473243</xdr:colOff>
      <xdr:row>61</xdr:row>
      <xdr:rowOff>270677</xdr:rowOff>
    </xdr:from>
    <xdr:ext cx="673767" cy="1239423"/>
    <xdr:pic>
      <xdr:nvPicPr>
        <xdr:cNvPr id="41" name="Image 40">
          <a:extLst>
            <a:ext uri="{FF2B5EF4-FFF2-40B4-BE49-F238E27FC236}">
              <a16:creationId xmlns:a16="http://schemas.microsoft.com/office/drawing/2014/main" id="{3E663F29-38A8-4094-9986-CFF9DA83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73243" y="11433977"/>
          <a:ext cx="673767" cy="123942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489285</xdr:colOff>
      <xdr:row>63</xdr:row>
      <xdr:rowOff>64167</xdr:rowOff>
    </xdr:from>
    <xdr:ext cx="623397" cy="1068838"/>
    <xdr:pic>
      <xdr:nvPicPr>
        <xdr:cNvPr id="42" name="Image 41">
          <a:extLst>
            <a:ext uri="{FF2B5EF4-FFF2-40B4-BE49-F238E27FC236}">
              <a16:creationId xmlns:a16="http://schemas.microsoft.com/office/drawing/2014/main" id="{2CD090FA-1DA5-4F8D-A7BD-F188ABD47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9285" y="11684667"/>
          <a:ext cx="623397" cy="1068838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473244</xdr:colOff>
      <xdr:row>68</xdr:row>
      <xdr:rowOff>48127</xdr:rowOff>
    </xdr:from>
    <xdr:ext cx="597175" cy="1040632"/>
    <xdr:pic>
      <xdr:nvPicPr>
        <xdr:cNvPr id="43" name="Image 42">
          <a:extLst>
            <a:ext uri="{FF2B5EF4-FFF2-40B4-BE49-F238E27FC236}">
              <a16:creationId xmlns:a16="http://schemas.microsoft.com/office/drawing/2014/main" id="{4E597E10-6D51-435F-82B7-3E9A1AA4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3244" y="12621127"/>
          <a:ext cx="597175" cy="104063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473242</xdr:colOff>
      <xdr:row>71</xdr:row>
      <xdr:rowOff>240630</xdr:rowOff>
    </xdr:from>
    <xdr:ext cx="560511" cy="1091808"/>
    <xdr:pic>
      <xdr:nvPicPr>
        <xdr:cNvPr id="44" name="Image 43">
          <a:extLst>
            <a:ext uri="{FF2B5EF4-FFF2-40B4-BE49-F238E27FC236}">
              <a16:creationId xmlns:a16="http://schemas.microsoft.com/office/drawing/2014/main" id="{15D04F03-AB6D-4EEA-A7F6-C8CBFED01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73242" y="13337505"/>
          <a:ext cx="560511" cy="1091808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489284</xdr:colOff>
      <xdr:row>65</xdr:row>
      <xdr:rowOff>64169</xdr:rowOff>
    </xdr:from>
    <xdr:ext cx="638387" cy="1132601"/>
    <xdr:pic>
      <xdr:nvPicPr>
        <xdr:cNvPr id="45" name="Image 44">
          <a:extLst>
            <a:ext uri="{FF2B5EF4-FFF2-40B4-BE49-F238E27FC236}">
              <a16:creationId xmlns:a16="http://schemas.microsoft.com/office/drawing/2014/main" id="{098AF4AD-17C0-4C9F-9A5A-48B883ABF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89284" y="12065669"/>
          <a:ext cx="638387" cy="113260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417943</xdr:colOff>
      <xdr:row>79</xdr:row>
      <xdr:rowOff>18047</xdr:rowOff>
    </xdr:from>
    <xdr:ext cx="616200" cy="1192463"/>
    <xdr:pic>
      <xdr:nvPicPr>
        <xdr:cNvPr id="46" name="Image 45">
          <a:extLst>
            <a:ext uri="{FF2B5EF4-FFF2-40B4-BE49-F238E27FC236}">
              <a16:creationId xmlns:a16="http://schemas.microsoft.com/office/drawing/2014/main" id="{D850AA85-7A6D-4812-9FF8-FD1481435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17943" y="14686547"/>
          <a:ext cx="616200" cy="119246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136375</xdr:colOff>
      <xdr:row>76</xdr:row>
      <xdr:rowOff>64468</xdr:rowOff>
    </xdr:from>
    <xdr:ext cx="1104090" cy="1325125"/>
    <xdr:pic>
      <xdr:nvPicPr>
        <xdr:cNvPr id="47" name="Image 46">
          <a:extLst>
            <a:ext uri="{FF2B5EF4-FFF2-40B4-BE49-F238E27FC236}">
              <a16:creationId xmlns:a16="http://schemas.microsoft.com/office/drawing/2014/main" id="{43BC602B-4E0F-4945-8A54-FB9E5085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6375" y="14161468"/>
          <a:ext cx="1104090" cy="1325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444983</xdr:colOff>
      <xdr:row>34</xdr:row>
      <xdr:rowOff>183018</xdr:rowOff>
    </xdr:from>
    <xdr:ext cx="528735" cy="1045285"/>
    <xdr:pic>
      <xdr:nvPicPr>
        <xdr:cNvPr id="48" name="Image 47">
          <a:extLst>
            <a:ext uri="{FF2B5EF4-FFF2-40B4-BE49-F238E27FC236}">
              <a16:creationId xmlns:a16="http://schemas.microsoft.com/office/drawing/2014/main" id="{A32E466E-67E2-41E2-A00C-9C3612FF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44983" y="6660018"/>
          <a:ext cx="528735" cy="104528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426470</xdr:colOff>
      <xdr:row>36</xdr:row>
      <xdr:rowOff>135213</xdr:rowOff>
    </xdr:from>
    <xdr:ext cx="533462" cy="1014760"/>
    <xdr:pic>
      <xdr:nvPicPr>
        <xdr:cNvPr id="49" name="Image 48">
          <a:extLst>
            <a:ext uri="{FF2B5EF4-FFF2-40B4-BE49-F238E27FC236}">
              <a16:creationId xmlns:a16="http://schemas.microsoft.com/office/drawing/2014/main" id="{1250C807-9157-4193-91B9-4C01313F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26470" y="6993213"/>
          <a:ext cx="533462" cy="1014760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427654</xdr:colOff>
      <xdr:row>31</xdr:row>
      <xdr:rowOff>34108</xdr:rowOff>
    </xdr:from>
    <xdr:ext cx="559836" cy="1101871"/>
    <xdr:pic>
      <xdr:nvPicPr>
        <xdr:cNvPr id="50" name="Image 49">
          <a:extLst>
            <a:ext uri="{FF2B5EF4-FFF2-40B4-BE49-F238E27FC236}">
              <a16:creationId xmlns:a16="http://schemas.microsoft.com/office/drawing/2014/main" id="{BF69C22A-F278-4344-A906-A50CF1BBE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27654" y="5939608"/>
          <a:ext cx="559836" cy="110187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435430</xdr:colOff>
      <xdr:row>33</xdr:row>
      <xdr:rowOff>34002</xdr:rowOff>
    </xdr:from>
    <xdr:ext cx="559836" cy="1124085"/>
    <xdr:pic>
      <xdr:nvPicPr>
        <xdr:cNvPr id="51" name="Image 50">
          <a:extLst>
            <a:ext uri="{FF2B5EF4-FFF2-40B4-BE49-F238E27FC236}">
              <a16:creationId xmlns:a16="http://schemas.microsoft.com/office/drawing/2014/main" id="{6AE0467D-1A6F-4814-B159-0E9B95480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35430" y="6320502"/>
          <a:ext cx="559836" cy="112408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443205</xdr:colOff>
      <xdr:row>45</xdr:row>
      <xdr:rowOff>0</xdr:rowOff>
    </xdr:from>
    <xdr:ext cx="552061" cy="976113"/>
    <xdr:pic>
      <xdr:nvPicPr>
        <xdr:cNvPr id="52" name="Image 51">
          <a:extLst>
            <a:ext uri="{FF2B5EF4-FFF2-40B4-BE49-F238E27FC236}">
              <a16:creationId xmlns:a16="http://schemas.microsoft.com/office/drawing/2014/main" id="{7A08FC6F-4EB2-49AF-B437-65D646076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43205" y="8572500"/>
          <a:ext cx="552061" cy="97611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419878</xdr:colOff>
      <xdr:row>47</xdr:row>
      <xdr:rowOff>23326</xdr:rowOff>
    </xdr:from>
    <xdr:ext cx="558385" cy="1012878"/>
    <xdr:pic>
      <xdr:nvPicPr>
        <xdr:cNvPr id="53" name="Image 52">
          <a:extLst>
            <a:ext uri="{FF2B5EF4-FFF2-40B4-BE49-F238E27FC236}">
              <a16:creationId xmlns:a16="http://schemas.microsoft.com/office/drawing/2014/main" id="{7C118753-AE3A-4B90-B299-B360001CD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19878" y="8976826"/>
          <a:ext cx="558385" cy="1012878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82</xdr:row>
      <xdr:rowOff>209939</xdr:rowOff>
    </xdr:from>
    <xdr:ext cx="1236306" cy="893944"/>
    <xdr:pic>
      <xdr:nvPicPr>
        <xdr:cNvPr id="54" name="Image 53">
          <a:extLst>
            <a:ext uri="{FF2B5EF4-FFF2-40B4-BE49-F238E27FC236}">
              <a16:creationId xmlns:a16="http://schemas.microsoft.com/office/drawing/2014/main" id="{5CDA757E-4CF2-4F45-B80B-DFFD4809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5430889"/>
          <a:ext cx="1236306" cy="893944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272144</xdr:colOff>
      <xdr:row>131</xdr:row>
      <xdr:rowOff>54428</xdr:rowOff>
    </xdr:from>
    <xdr:ext cx="945744" cy="839755"/>
    <xdr:pic>
      <xdr:nvPicPr>
        <xdr:cNvPr id="55" name="Image 54">
          <a:extLst>
            <a:ext uri="{FF2B5EF4-FFF2-40B4-BE49-F238E27FC236}">
              <a16:creationId xmlns:a16="http://schemas.microsoft.com/office/drawing/2014/main" id="{ED2FAEE7-D25F-4BD3-A874-606159774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72144" y="24628928"/>
          <a:ext cx="945744" cy="83975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342123</xdr:colOff>
      <xdr:row>131</xdr:row>
      <xdr:rowOff>985424</xdr:rowOff>
    </xdr:from>
    <xdr:ext cx="847530" cy="816582"/>
    <xdr:pic>
      <xdr:nvPicPr>
        <xdr:cNvPr id="56" name="Image 55">
          <a:extLst>
            <a:ext uri="{FF2B5EF4-FFF2-40B4-BE49-F238E27FC236}">
              <a16:creationId xmlns:a16="http://schemas.microsoft.com/office/drawing/2014/main" id="{6E3F5D31-24B7-4F95-8412-F610412B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42123" y="24769349"/>
          <a:ext cx="847530" cy="81658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334348</xdr:colOff>
      <xdr:row>133</xdr:row>
      <xdr:rowOff>15198</xdr:rowOff>
    </xdr:from>
    <xdr:ext cx="839755" cy="829814"/>
    <xdr:pic>
      <xdr:nvPicPr>
        <xdr:cNvPr id="57" name="Image 56">
          <a:extLst>
            <a:ext uri="{FF2B5EF4-FFF2-40B4-BE49-F238E27FC236}">
              <a16:creationId xmlns:a16="http://schemas.microsoft.com/office/drawing/2014/main" id="{DCBF398E-0341-4F62-9653-F4997F9AF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34348" y="24970698"/>
          <a:ext cx="839755" cy="829814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381000</xdr:colOff>
      <xdr:row>134</xdr:row>
      <xdr:rowOff>38878</xdr:rowOff>
    </xdr:from>
    <xdr:ext cx="813074" cy="800614"/>
    <xdr:pic>
      <xdr:nvPicPr>
        <xdr:cNvPr id="58" name="Image 57">
          <a:extLst>
            <a:ext uri="{FF2B5EF4-FFF2-40B4-BE49-F238E27FC236}">
              <a16:creationId xmlns:a16="http://schemas.microsoft.com/office/drawing/2014/main" id="{3470271A-8194-471A-A092-83113E61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81000" y="25184878"/>
          <a:ext cx="813074" cy="800614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318796</xdr:colOff>
      <xdr:row>135</xdr:row>
      <xdr:rowOff>1</xdr:rowOff>
    </xdr:from>
    <xdr:ext cx="920743" cy="894183"/>
    <xdr:pic>
      <xdr:nvPicPr>
        <xdr:cNvPr id="59" name="Image 58">
          <a:extLst>
            <a:ext uri="{FF2B5EF4-FFF2-40B4-BE49-F238E27FC236}">
              <a16:creationId xmlns:a16="http://schemas.microsoft.com/office/drawing/2014/main" id="{D67C7974-6E96-42FE-932B-FAA207B93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18796" y="25336501"/>
          <a:ext cx="920743" cy="89418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279918</xdr:colOff>
      <xdr:row>135</xdr:row>
      <xdr:rowOff>933666</xdr:rowOff>
    </xdr:from>
    <xdr:ext cx="979714" cy="946179"/>
    <xdr:pic>
      <xdr:nvPicPr>
        <xdr:cNvPr id="60" name="Image 59">
          <a:extLst>
            <a:ext uri="{FF2B5EF4-FFF2-40B4-BE49-F238E27FC236}">
              <a16:creationId xmlns:a16="http://schemas.microsoft.com/office/drawing/2014/main" id="{DB34C824-242A-4261-BCF4-79E12B979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79918" y="25527216"/>
          <a:ext cx="979714" cy="94617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295470</xdr:colOff>
      <xdr:row>137</xdr:row>
      <xdr:rowOff>21903</xdr:rowOff>
    </xdr:from>
    <xdr:ext cx="901959" cy="928278"/>
    <xdr:pic>
      <xdr:nvPicPr>
        <xdr:cNvPr id="61" name="Image 60">
          <a:extLst>
            <a:ext uri="{FF2B5EF4-FFF2-40B4-BE49-F238E27FC236}">
              <a16:creationId xmlns:a16="http://schemas.microsoft.com/office/drawing/2014/main" id="{4D0C1CAA-2DA4-4FE5-AEFB-886E49512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95470" y="25739403"/>
          <a:ext cx="901959" cy="928278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163285</xdr:colOff>
      <xdr:row>139</xdr:row>
      <xdr:rowOff>1220757</xdr:rowOff>
    </xdr:from>
    <xdr:ext cx="986741" cy="1235317"/>
    <xdr:pic>
      <xdr:nvPicPr>
        <xdr:cNvPr id="62" name="Image 61">
          <a:extLst>
            <a:ext uri="{FF2B5EF4-FFF2-40B4-BE49-F238E27FC236}">
              <a16:creationId xmlns:a16="http://schemas.microsoft.com/office/drawing/2014/main" id="{E6AD9971-2795-4673-A169-5A81CE254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3285" y="26290557"/>
          <a:ext cx="986741" cy="1235317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256591</xdr:colOff>
      <xdr:row>140</xdr:row>
      <xdr:rowOff>1212978</xdr:rowOff>
    </xdr:from>
    <xdr:ext cx="880260" cy="1247663"/>
    <xdr:pic>
      <xdr:nvPicPr>
        <xdr:cNvPr id="63" name="Image 62">
          <a:extLst>
            <a:ext uri="{FF2B5EF4-FFF2-40B4-BE49-F238E27FC236}">
              <a16:creationId xmlns:a16="http://schemas.microsoft.com/office/drawing/2014/main" id="{AB9AC920-9369-498A-9393-5A8BB28E2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56591" y="26482803"/>
          <a:ext cx="880260" cy="124766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326573</xdr:colOff>
      <xdr:row>144</xdr:row>
      <xdr:rowOff>87950</xdr:rowOff>
    </xdr:from>
    <xdr:ext cx="808652" cy="1102707"/>
    <xdr:pic>
      <xdr:nvPicPr>
        <xdr:cNvPr id="64" name="Image 63">
          <a:extLst>
            <a:ext uri="{FF2B5EF4-FFF2-40B4-BE49-F238E27FC236}">
              <a16:creationId xmlns:a16="http://schemas.microsoft.com/office/drawing/2014/main" id="{F6824861-25E6-40F5-B320-DA62BBDC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26573" y="27138950"/>
          <a:ext cx="808652" cy="1102707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365450</xdr:colOff>
      <xdr:row>145</xdr:row>
      <xdr:rowOff>31102</xdr:rowOff>
    </xdr:from>
    <xdr:ext cx="738482" cy="1160472"/>
    <xdr:pic>
      <xdr:nvPicPr>
        <xdr:cNvPr id="65" name="Image 64">
          <a:extLst>
            <a:ext uri="{FF2B5EF4-FFF2-40B4-BE49-F238E27FC236}">
              <a16:creationId xmlns:a16="http://schemas.microsoft.com/office/drawing/2014/main" id="{7FFC9822-E575-4A04-A1E4-A4E6EA92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5450" y="27272602"/>
          <a:ext cx="738482" cy="116047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280512</xdr:colOff>
      <xdr:row>150</xdr:row>
      <xdr:rowOff>153277</xdr:rowOff>
    </xdr:from>
    <xdr:ext cx="987490" cy="1335734"/>
    <xdr:pic>
      <xdr:nvPicPr>
        <xdr:cNvPr id="66" name="Image 65">
          <a:extLst>
            <a:ext uri="{FF2B5EF4-FFF2-40B4-BE49-F238E27FC236}">
              <a16:creationId xmlns:a16="http://schemas.microsoft.com/office/drawing/2014/main" id="{38C42EA5-4013-4776-BD43-DA78C31BD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80512" y="28347277"/>
          <a:ext cx="987490" cy="1335734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266147</xdr:colOff>
      <xdr:row>148</xdr:row>
      <xdr:rowOff>100125</xdr:rowOff>
    </xdr:from>
    <xdr:ext cx="1088571" cy="1441206"/>
    <xdr:pic>
      <xdr:nvPicPr>
        <xdr:cNvPr id="67" name="Image 66">
          <a:extLst>
            <a:ext uri="{FF2B5EF4-FFF2-40B4-BE49-F238E27FC236}">
              <a16:creationId xmlns:a16="http://schemas.microsoft.com/office/drawing/2014/main" id="{67AC0BDD-0AB1-4B38-9664-ED3AC879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66147" y="27913125"/>
          <a:ext cx="1088571" cy="1441206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290659</xdr:colOff>
      <xdr:row>149</xdr:row>
      <xdr:rowOff>23326</xdr:rowOff>
    </xdr:from>
    <xdr:ext cx="1020851" cy="1387955"/>
    <xdr:pic>
      <xdr:nvPicPr>
        <xdr:cNvPr id="68" name="Image 67">
          <a:extLst>
            <a:ext uri="{FF2B5EF4-FFF2-40B4-BE49-F238E27FC236}">
              <a16:creationId xmlns:a16="http://schemas.microsoft.com/office/drawing/2014/main" id="{8E1EB352-5E87-44B9-9F41-C5ABA6CFC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90659" y="28026826"/>
          <a:ext cx="1020851" cy="138795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233265</xdr:colOff>
      <xdr:row>151</xdr:row>
      <xdr:rowOff>113560</xdr:rowOff>
    </xdr:from>
    <xdr:ext cx="995266" cy="1376870"/>
    <xdr:pic>
      <xdr:nvPicPr>
        <xdr:cNvPr id="69" name="Image 68">
          <a:extLst>
            <a:ext uri="{FF2B5EF4-FFF2-40B4-BE49-F238E27FC236}">
              <a16:creationId xmlns:a16="http://schemas.microsoft.com/office/drawing/2014/main" id="{DC4AA737-F22D-4A02-B79B-4536BD290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33265" y="28498060"/>
          <a:ext cx="995266" cy="1376870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171062</xdr:colOff>
      <xdr:row>153</xdr:row>
      <xdr:rowOff>15552</xdr:rowOff>
    </xdr:from>
    <xdr:ext cx="948612" cy="1901852"/>
    <xdr:pic>
      <xdr:nvPicPr>
        <xdr:cNvPr id="70" name="Image 69">
          <a:extLst>
            <a:ext uri="{FF2B5EF4-FFF2-40B4-BE49-F238E27FC236}">
              <a16:creationId xmlns:a16="http://schemas.microsoft.com/office/drawing/2014/main" id="{661C5B39-B7F4-4DB3-8199-0A8E7E75A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71062" y="28781052"/>
          <a:ext cx="948612" cy="190185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171061</xdr:colOff>
      <xdr:row>154</xdr:row>
      <xdr:rowOff>0</xdr:rowOff>
    </xdr:from>
    <xdr:ext cx="995265" cy="2030947"/>
    <xdr:pic>
      <xdr:nvPicPr>
        <xdr:cNvPr id="71" name="Image 70">
          <a:extLst>
            <a:ext uri="{FF2B5EF4-FFF2-40B4-BE49-F238E27FC236}">
              <a16:creationId xmlns:a16="http://schemas.microsoft.com/office/drawing/2014/main" id="{789ECCFD-8BAA-4751-91AD-0BE518505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71061" y="28956000"/>
          <a:ext cx="995265" cy="2030947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248817</xdr:colOff>
      <xdr:row>155</xdr:row>
      <xdr:rowOff>108858</xdr:rowOff>
    </xdr:from>
    <xdr:ext cx="838115" cy="1942902"/>
    <xdr:pic>
      <xdr:nvPicPr>
        <xdr:cNvPr id="72" name="Image 71">
          <a:extLst>
            <a:ext uri="{FF2B5EF4-FFF2-40B4-BE49-F238E27FC236}">
              <a16:creationId xmlns:a16="http://schemas.microsoft.com/office/drawing/2014/main" id="{EF3811A9-68AB-4991-9E53-5670B1E45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48817" y="29255358"/>
          <a:ext cx="838115" cy="194290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157</xdr:row>
      <xdr:rowOff>465117</xdr:rowOff>
    </xdr:from>
    <xdr:ext cx="1408587" cy="544286"/>
    <xdr:pic>
      <xdr:nvPicPr>
        <xdr:cNvPr id="73" name="Image 72">
          <a:extLst>
            <a:ext uri="{FF2B5EF4-FFF2-40B4-BE49-F238E27FC236}">
              <a16:creationId xmlns:a16="http://schemas.microsoft.com/office/drawing/2014/main" id="{2CF05DB5-6305-4F64-9ED4-B9F1F4EF0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29716392"/>
          <a:ext cx="1408587" cy="544286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29688</xdr:colOff>
      <xdr:row>158</xdr:row>
      <xdr:rowOff>455222</xdr:rowOff>
    </xdr:from>
    <xdr:ext cx="1293092" cy="554182"/>
    <xdr:pic>
      <xdr:nvPicPr>
        <xdr:cNvPr id="74" name="Image 73">
          <a:extLst>
            <a:ext uri="{FF2B5EF4-FFF2-40B4-BE49-F238E27FC236}">
              <a16:creationId xmlns:a16="http://schemas.microsoft.com/office/drawing/2014/main" id="{D5D8CB6F-B64D-4EFD-AEB1-3A1613047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9688" y="29906522"/>
          <a:ext cx="1293092" cy="55418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159</xdr:row>
      <xdr:rowOff>475013</xdr:rowOff>
    </xdr:from>
    <xdr:ext cx="1405247" cy="664123"/>
    <xdr:pic>
      <xdr:nvPicPr>
        <xdr:cNvPr id="75" name="Image 74">
          <a:extLst>
            <a:ext uri="{FF2B5EF4-FFF2-40B4-BE49-F238E27FC236}">
              <a16:creationId xmlns:a16="http://schemas.microsoft.com/office/drawing/2014/main" id="{B400E01C-BCA7-4AB1-B163-CAC0BF735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30097763"/>
          <a:ext cx="1405247" cy="66412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160</xdr:row>
      <xdr:rowOff>554182</xdr:rowOff>
    </xdr:from>
    <xdr:ext cx="1371719" cy="518205"/>
    <xdr:pic>
      <xdr:nvPicPr>
        <xdr:cNvPr id="76" name="Image 75">
          <a:extLst>
            <a:ext uri="{FF2B5EF4-FFF2-40B4-BE49-F238E27FC236}">
              <a16:creationId xmlns:a16="http://schemas.microsoft.com/office/drawing/2014/main" id="{0633AEA5-9082-4F9C-963A-826184DE9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30291232"/>
          <a:ext cx="1371719" cy="51820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188028</xdr:colOff>
      <xdr:row>103</xdr:row>
      <xdr:rowOff>9895</xdr:rowOff>
    </xdr:from>
    <xdr:ext cx="1167738" cy="1026697"/>
    <xdr:pic>
      <xdr:nvPicPr>
        <xdr:cNvPr id="77" name="Image 76">
          <a:extLst>
            <a:ext uri="{FF2B5EF4-FFF2-40B4-BE49-F238E27FC236}">
              <a16:creationId xmlns:a16="http://schemas.microsoft.com/office/drawing/2014/main" id="{2C3571DB-51F0-44DA-832A-627EFB093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88028" y="19250395"/>
          <a:ext cx="1167738" cy="1026697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207819</xdr:colOff>
      <xdr:row>101</xdr:row>
      <xdr:rowOff>19793</xdr:rowOff>
    </xdr:from>
    <xdr:ext cx="1138732" cy="1024254"/>
    <xdr:pic>
      <xdr:nvPicPr>
        <xdr:cNvPr id="78" name="Image 77">
          <a:extLst>
            <a:ext uri="{FF2B5EF4-FFF2-40B4-BE49-F238E27FC236}">
              <a16:creationId xmlns:a16="http://schemas.microsoft.com/office/drawing/2014/main" id="{EF71F2CC-B7DA-4105-BE85-0677752DB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7819" y="18879293"/>
          <a:ext cx="1138732" cy="1024254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178131</xdr:colOff>
      <xdr:row>99</xdr:row>
      <xdr:rowOff>19791</xdr:rowOff>
    </xdr:from>
    <xdr:ext cx="1207323" cy="1084081"/>
    <xdr:pic>
      <xdr:nvPicPr>
        <xdr:cNvPr id="79" name="Image 78">
          <a:extLst>
            <a:ext uri="{FF2B5EF4-FFF2-40B4-BE49-F238E27FC236}">
              <a16:creationId xmlns:a16="http://schemas.microsoft.com/office/drawing/2014/main" id="{148968C6-E8D8-4D32-A1B3-52DD099C9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78131" y="18498291"/>
          <a:ext cx="1207323" cy="108408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188027</xdr:colOff>
      <xdr:row>97</xdr:row>
      <xdr:rowOff>59377</xdr:rowOff>
    </xdr:from>
    <xdr:ext cx="1219571" cy="1137926"/>
    <xdr:pic>
      <xdr:nvPicPr>
        <xdr:cNvPr id="80" name="Image 79">
          <a:extLst>
            <a:ext uri="{FF2B5EF4-FFF2-40B4-BE49-F238E27FC236}">
              <a16:creationId xmlns:a16="http://schemas.microsoft.com/office/drawing/2014/main" id="{C5972BB0-7E71-4C46-8262-E1AF82830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8027" y="18156877"/>
          <a:ext cx="1219571" cy="1137926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217715</xdr:colOff>
      <xdr:row>94</xdr:row>
      <xdr:rowOff>271485</xdr:rowOff>
    </xdr:from>
    <xdr:ext cx="1167739" cy="1128074"/>
    <xdr:pic>
      <xdr:nvPicPr>
        <xdr:cNvPr id="81" name="Image 80">
          <a:extLst>
            <a:ext uri="{FF2B5EF4-FFF2-40B4-BE49-F238E27FC236}">
              <a16:creationId xmlns:a16="http://schemas.microsoft.com/office/drawing/2014/main" id="{AA1015F9-AF8B-4103-B842-BD42F2931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17715" y="17711760"/>
          <a:ext cx="1167739" cy="1128074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173397</xdr:colOff>
      <xdr:row>93</xdr:row>
      <xdr:rowOff>127110</xdr:rowOff>
    </xdr:from>
    <xdr:ext cx="1241035" cy="1133721"/>
    <xdr:pic>
      <xdr:nvPicPr>
        <xdr:cNvPr id="82" name="Image 81">
          <a:extLst>
            <a:ext uri="{FF2B5EF4-FFF2-40B4-BE49-F238E27FC236}">
              <a16:creationId xmlns:a16="http://schemas.microsoft.com/office/drawing/2014/main" id="{CEDE9782-3CEC-49E7-B5B6-02FF9876D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73397" y="17462610"/>
          <a:ext cx="1241035" cy="113372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197923</xdr:colOff>
      <xdr:row>91</xdr:row>
      <xdr:rowOff>0</xdr:rowOff>
    </xdr:from>
    <xdr:ext cx="1088572" cy="1106363"/>
    <xdr:pic>
      <xdr:nvPicPr>
        <xdr:cNvPr id="83" name="Image 82">
          <a:extLst>
            <a:ext uri="{FF2B5EF4-FFF2-40B4-BE49-F238E27FC236}">
              <a16:creationId xmlns:a16="http://schemas.microsoft.com/office/drawing/2014/main" id="{617A3A17-5A58-49AA-84E3-6D7901D2C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7923" y="16954500"/>
          <a:ext cx="1088572" cy="110636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217714</xdr:colOff>
      <xdr:row>89</xdr:row>
      <xdr:rowOff>9897</xdr:rowOff>
    </xdr:from>
    <xdr:ext cx="1143713" cy="1129079"/>
    <xdr:pic>
      <xdr:nvPicPr>
        <xdr:cNvPr id="84" name="Image 83">
          <a:extLst>
            <a:ext uri="{FF2B5EF4-FFF2-40B4-BE49-F238E27FC236}">
              <a16:creationId xmlns:a16="http://schemas.microsoft.com/office/drawing/2014/main" id="{8537F9FB-6DD1-4C2F-8830-56BE0FCAF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17714" y="16583397"/>
          <a:ext cx="1143713" cy="112907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257298</xdr:colOff>
      <xdr:row>116</xdr:row>
      <xdr:rowOff>0</xdr:rowOff>
    </xdr:from>
    <xdr:ext cx="959922" cy="1359739"/>
    <xdr:pic>
      <xdr:nvPicPr>
        <xdr:cNvPr id="85" name="Image 84">
          <a:extLst>
            <a:ext uri="{FF2B5EF4-FFF2-40B4-BE49-F238E27FC236}">
              <a16:creationId xmlns:a16="http://schemas.microsoft.com/office/drawing/2014/main" id="{2FB3EBE6-12A9-43C2-9247-6DC71F367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57298" y="21717000"/>
          <a:ext cx="959922" cy="135973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257298</xdr:colOff>
      <xdr:row>118</xdr:row>
      <xdr:rowOff>4003</xdr:rowOff>
    </xdr:from>
    <xdr:ext cx="920338" cy="1396015"/>
    <xdr:pic>
      <xdr:nvPicPr>
        <xdr:cNvPr id="86" name="Image 85">
          <a:extLst>
            <a:ext uri="{FF2B5EF4-FFF2-40B4-BE49-F238E27FC236}">
              <a16:creationId xmlns:a16="http://schemas.microsoft.com/office/drawing/2014/main" id="{3BF02B15-1512-493D-99D8-DDE85D46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57298" y="22102003"/>
          <a:ext cx="920338" cy="139601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306780</xdr:colOff>
      <xdr:row>124</xdr:row>
      <xdr:rowOff>177420</xdr:rowOff>
    </xdr:from>
    <xdr:ext cx="969818" cy="1380444"/>
    <xdr:pic>
      <xdr:nvPicPr>
        <xdr:cNvPr id="87" name="Image 86">
          <a:extLst>
            <a:ext uri="{FF2B5EF4-FFF2-40B4-BE49-F238E27FC236}">
              <a16:creationId xmlns:a16="http://schemas.microsoft.com/office/drawing/2014/main" id="{13C67A69-9473-4D97-AB2C-DF61B0601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06780" y="23418420"/>
          <a:ext cx="969818" cy="1380444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81064</xdr:colOff>
      <xdr:row>83</xdr:row>
      <xdr:rowOff>226979</xdr:rowOff>
    </xdr:from>
    <xdr:ext cx="1086255" cy="788580"/>
    <xdr:pic>
      <xdr:nvPicPr>
        <xdr:cNvPr id="88" name="Image 87">
          <a:extLst>
            <a:ext uri="{FF2B5EF4-FFF2-40B4-BE49-F238E27FC236}">
              <a16:creationId xmlns:a16="http://schemas.microsoft.com/office/drawing/2014/main" id="{0AD29E10-32CB-4B46-AF03-9D0D82CEA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1064" y="15619379"/>
          <a:ext cx="1086255" cy="788580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32426</xdr:colOff>
      <xdr:row>84</xdr:row>
      <xdr:rowOff>291829</xdr:rowOff>
    </xdr:from>
    <xdr:ext cx="1134894" cy="826851"/>
    <xdr:pic>
      <xdr:nvPicPr>
        <xdr:cNvPr id="89" name="Image 88">
          <a:extLst>
            <a:ext uri="{FF2B5EF4-FFF2-40B4-BE49-F238E27FC236}">
              <a16:creationId xmlns:a16="http://schemas.microsoft.com/office/drawing/2014/main" id="{FACA737A-C425-4316-986B-9C12C548C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2426" y="15808054"/>
          <a:ext cx="1134894" cy="826851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381001</xdr:colOff>
      <xdr:row>143</xdr:row>
      <xdr:rowOff>15551</xdr:rowOff>
    </xdr:from>
    <xdr:ext cx="628052" cy="961255"/>
    <xdr:pic>
      <xdr:nvPicPr>
        <xdr:cNvPr id="90" name="Image 89">
          <a:extLst>
            <a:ext uri="{FF2B5EF4-FFF2-40B4-BE49-F238E27FC236}">
              <a16:creationId xmlns:a16="http://schemas.microsoft.com/office/drawing/2014/main" id="{AA7C3488-9CED-4194-BEAF-72F16662E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81001" y="26876051"/>
          <a:ext cx="628052" cy="96125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132183</xdr:colOff>
      <xdr:row>152</xdr:row>
      <xdr:rowOff>133508</xdr:rowOff>
    </xdr:from>
    <xdr:ext cx="1018592" cy="1802350"/>
    <xdr:pic>
      <xdr:nvPicPr>
        <xdr:cNvPr id="91" name="Image 90">
          <a:extLst>
            <a:ext uri="{FF2B5EF4-FFF2-40B4-BE49-F238E27FC236}">
              <a16:creationId xmlns:a16="http://schemas.microsoft.com/office/drawing/2014/main" id="{CF9D41DE-964E-4E38-B05F-46D729A30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32183" y="28708508"/>
          <a:ext cx="1018592" cy="1802350"/>
        </a:xfrm>
        <a:prstGeom prst="rect">
          <a:avLst/>
        </a:prstGeom>
        <a:ln>
          <a:prstDash val="solid"/>
        </a:ln>
      </xdr:spPr>
    </xdr:pic>
    <xdr:clientData/>
  </xdr:oneCellAnchor>
  <xdr:twoCellAnchor editAs="oneCell">
    <xdr:from>
      <xdr:col>0</xdr:col>
      <xdr:colOff>342196</xdr:colOff>
      <xdr:row>49</xdr:row>
      <xdr:rowOff>101231</xdr:rowOff>
    </xdr:from>
    <xdr:to>
      <xdr:col>0</xdr:col>
      <xdr:colOff>1021521</xdr:colOff>
      <xdr:row>50</xdr:row>
      <xdr:rowOff>430147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E0015BCD-031B-E779-1850-49179518A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342196" y="24728188"/>
          <a:ext cx="679325" cy="11479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284481</xdr:rowOff>
    </xdr:from>
    <xdr:to>
      <xdr:col>0</xdr:col>
      <xdr:colOff>1375464</xdr:colOff>
      <xdr:row>20</xdr:row>
      <xdr:rowOff>731521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CF407213-F60A-F876-E3EE-9FD039500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21681"/>
          <a:ext cx="1384989" cy="447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426720</xdr:rowOff>
    </xdr:from>
    <xdr:to>
      <xdr:col>0</xdr:col>
      <xdr:colOff>1371600</xdr:colOff>
      <xdr:row>21</xdr:row>
      <xdr:rowOff>870597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454B6154-3B06-BF78-4C2E-ED245A230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649440"/>
          <a:ext cx="1371600" cy="443877"/>
        </a:xfrm>
        <a:prstGeom prst="rect">
          <a:avLst/>
        </a:prstGeom>
      </xdr:spPr>
    </xdr:pic>
    <xdr:clientData/>
  </xdr:twoCellAnchor>
  <xdr:twoCellAnchor editAs="oneCell">
    <xdr:from>
      <xdr:col>0</xdr:col>
      <xdr:colOff>416561</xdr:colOff>
      <xdr:row>23</xdr:row>
      <xdr:rowOff>10160</xdr:rowOff>
    </xdr:from>
    <xdr:to>
      <xdr:col>0</xdr:col>
      <xdr:colOff>1062232</xdr:colOff>
      <xdr:row>25</xdr:row>
      <xdr:rowOff>152400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3F4F9CF1-C599-9581-B332-CDD959726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561" y="20706080"/>
          <a:ext cx="645671" cy="130048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426720</xdr:colOff>
      <xdr:row>25</xdr:row>
      <xdr:rowOff>237958</xdr:rowOff>
    </xdr:from>
    <xdr:to>
      <xdr:col>0</xdr:col>
      <xdr:colOff>1066800</xdr:colOff>
      <xdr:row>29</xdr:row>
      <xdr:rowOff>14990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79100466-B77C-7714-FD78-AD98437D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720" y="22092118"/>
          <a:ext cx="640080" cy="1321352"/>
        </a:xfrm>
        <a:prstGeom prst="rect">
          <a:avLst/>
        </a:prstGeom>
      </xdr:spPr>
    </xdr:pic>
    <xdr:clientData/>
  </xdr:twoCellAnchor>
  <xdr:twoCellAnchor editAs="oneCell">
    <xdr:from>
      <xdr:col>0</xdr:col>
      <xdr:colOff>426722</xdr:colOff>
      <xdr:row>29</xdr:row>
      <xdr:rowOff>60960</xdr:rowOff>
    </xdr:from>
    <xdr:to>
      <xdr:col>0</xdr:col>
      <xdr:colOff>1107440</xdr:colOff>
      <xdr:row>31</xdr:row>
      <xdr:rowOff>230091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B3A67533-D6D6-6834-39C0-24E2CEF9F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2" y="23459440"/>
          <a:ext cx="680718" cy="1368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74705</xdr:colOff>
      <xdr:row>16</xdr:row>
      <xdr:rowOff>274324</xdr:rowOff>
    </xdr:from>
    <xdr:to>
      <xdr:col>0</xdr:col>
      <xdr:colOff>1320801</xdr:colOff>
      <xdr:row>17</xdr:row>
      <xdr:rowOff>348239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5" y="9956804"/>
          <a:ext cx="1246096" cy="1221994"/>
        </a:xfrm>
        <a:prstGeom prst="rect">
          <a:avLst/>
        </a:prstGeom>
      </xdr:spPr>
    </xdr:pic>
    <xdr:clientData/>
  </xdr:twoCellAnchor>
  <xdr:twoCellAnchor editAs="oneCell">
    <xdr:from>
      <xdr:col>0</xdr:col>
      <xdr:colOff>3160</xdr:colOff>
      <xdr:row>18</xdr:row>
      <xdr:rowOff>84758</xdr:rowOff>
    </xdr:from>
    <xdr:to>
      <xdr:col>0</xdr:col>
      <xdr:colOff>1310640</xdr:colOff>
      <xdr:row>19</xdr:row>
      <xdr:rowOff>206655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0" y="11352198"/>
          <a:ext cx="1307480" cy="1320777"/>
        </a:xfrm>
        <a:prstGeom prst="rect">
          <a:avLst/>
        </a:prstGeom>
      </xdr:spPr>
    </xdr:pic>
    <xdr:clientData/>
  </xdr:twoCellAnchor>
  <xdr:twoCellAnchor editAs="oneCell">
    <xdr:from>
      <xdr:col>0</xdr:col>
      <xdr:colOff>123569</xdr:colOff>
      <xdr:row>13</xdr:row>
      <xdr:rowOff>215254</xdr:rowOff>
    </xdr:from>
    <xdr:to>
      <xdr:col>0</xdr:col>
      <xdr:colOff>1345812</xdr:colOff>
      <xdr:row>16</xdr:row>
      <xdr:rowOff>727016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69" y="9064614"/>
          <a:ext cx="1222243" cy="123762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390503</xdr:colOff>
      <xdr:row>11</xdr:row>
      <xdr:rowOff>197801</xdr:rowOff>
    </xdr:from>
    <xdr:to>
      <xdr:col>0</xdr:col>
      <xdr:colOff>955040</xdr:colOff>
      <xdr:row>14</xdr:row>
      <xdr:rowOff>4489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03" y="7970201"/>
          <a:ext cx="564537" cy="1110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102960</xdr:colOff>
      <xdr:row>21</xdr:row>
      <xdr:rowOff>61429</xdr:rowOff>
    </xdr:from>
    <xdr:to>
      <xdr:col>0</xdr:col>
      <xdr:colOff>1181099</xdr:colOff>
      <xdr:row>22</xdr:row>
      <xdr:rowOff>167392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960" y="12434404"/>
          <a:ext cx="1078139" cy="1496613"/>
        </a:xfrm>
        <a:prstGeom prst="rect">
          <a:avLst/>
        </a:prstGeom>
      </xdr:spPr>
    </xdr:pic>
    <xdr:clientData/>
  </xdr:twoCellAnchor>
  <xdr:twoCellAnchor editAs="oneCell">
    <xdr:from>
      <xdr:col>0</xdr:col>
      <xdr:colOff>208794</xdr:colOff>
      <xdr:row>23</xdr:row>
      <xdr:rowOff>12846</xdr:rowOff>
    </xdr:from>
    <xdr:to>
      <xdr:col>0</xdr:col>
      <xdr:colOff>1228725</xdr:colOff>
      <xdr:row>24</xdr:row>
      <xdr:rowOff>167128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8794" y="14005071"/>
          <a:ext cx="1019931" cy="1525882"/>
        </a:xfrm>
        <a:prstGeom prst="rect">
          <a:avLst/>
        </a:prstGeom>
      </xdr:spPr>
    </xdr:pic>
    <xdr:clientData/>
  </xdr:twoCellAnchor>
  <xdr:twoCellAnchor editAs="oneCell">
    <xdr:from>
      <xdr:col>0</xdr:col>
      <xdr:colOff>277736</xdr:colOff>
      <xdr:row>25</xdr:row>
      <xdr:rowOff>14591</xdr:rowOff>
    </xdr:from>
    <xdr:to>
      <xdr:col>0</xdr:col>
      <xdr:colOff>1190625</xdr:colOff>
      <xdr:row>27</xdr:row>
      <xdr:rowOff>64683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7736" y="15626066"/>
          <a:ext cx="912889" cy="1450267"/>
        </a:xfrm>
        <a:prstGeom prst="rect">
          <a:avLst/>
        </a:prstGeom>
      </xdr:spPr>
    </xdr:pic>
    <xdr:clientData/>
  </xdr:twoCellAnchor>
  <xdr:twoCellAnchor editAs="oneCell">
    <xdr:from>
      <xdr:col>0</xdr:col>
      <xdr:colOff>340481</xdr:colOff>
      <xdr:row>27</xdr:row>
      <xdr:rowOff>60475</xdr:rowOff>
    </xdr:from>
    <xdr:to>
      <xdr:col>0</xdr:col>
      <xdr:colOff>1152525</xdr:colOff>
      <xdr:row>28</xdr:row>
      <xdr:rowOff>106442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0481" y="17072125"/>
          <a:ext cx="812044" cy="130326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28</xdr:row>
      <xdr:rowOff>96629</xdr:rowOff>
    </xdr:from>
    <xdr:to>
      <xdr:col>0</xdr:col>
      <xdr:colOff>1092660</xdr:colOff>
      <xdr:row>30</xdr:row>
      <xdr:rowOff>216415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2875" y="18365579"/>
          <a:ext cx="949785" cy="148186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</xdr:row>
      <xdr:rowOff>9524</xdr:rowOff>
    </xdr:from>
    <xdr:to>
      <xdr:col>0</xdr:col>
      <xdr:colOff>1228725</xdr:colOff>
      <xdr:row>3</xdr:row>
      <xdr:rowOff>210498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DDEB93E-97C6-7FD3-95C7-95FCAF5D4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3375" y="466724"/>
          <a:ext cx="895350" cy="148684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</xdr:row>
      <xdr:rowOff>219075</xdr:rowOff>
    </xdr:from>
    <xdr:to>
      <xdr:col>0</xdr:col>
      <xdr:colOff>1222099</xdr:colOff>
      <xdr:row>5</xdr:row>
      <xdr:rowOff>4194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015AA7F-423C-D0A1-7374-5F017E086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1950" y="1962150"/>
          <a:ext cx="860149" cy="1451994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</xdr:row>
      <xdr:rowOff>55616</xdr:rowOff>
    </xdr:from>
    <xdr:to>
      <xdr:col>0</xdr:col>
      <xdr:colOff>1276350</xdr:colOff>
      <xdr:row>7</xdr:row>
      <xdr:rowOff>113869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5927553-1FE5-B77B-2708-0C9B2FFF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2425" y="3465566"/>
          <a:ext cx="923925" cy="15441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7</xdr:row>
      <xdr:rowOff>100660</xdr:rowOff>
    </xdr:from>
    <xdr:to>
      <xdr:col>0</xdr:col>
      <xdr:colOff>1228725</xdr:colOff>
      <xdr:row>9</xdr:row>
      <xdr:rowOff>151969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4D6D4A9-41B6-F837-7D9E-42841910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61950" y="4996510"/>
          <a:ext cx="866775" cy="148005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9</xdr:row>
      <xdr:rowOff>209549</xdr:rowOff>
    </xdr:from>
    <xdr:to>
      <xdr:col>0</xdr:col>
      <xdr:colOff>1076897</xdr:colOff>
      <xdr:row>11</xdr:row>
      <xdr:rowOff>112745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DAD6B774-8E20-DF1F-A292-0F74C6E9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61951" y="6534149"/>
          <a:ext cx="714946" cy="134147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30</xdr:row>
      <xdr:rowOff>178086</xdr:rowOff>
    </xdr:from>
    <xdr:to>
      <xdr:col>0</xdr:col>
      <xdr:colOff>1295400</xdr:colOff>
      <xdr:row>32</xdr:row>
      <xdr:rowOff>282106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65693E-7EDD-B273-A495-509091953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4" y="19809111"/>
          <a:ext cx="1095376" cy="182804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32</xdr:row>
      <xdr:rowOff>335950</xdr:rowOff>
    </xdr:from>
    <xdr:to>
      <xdr:col>0</xdr:col>
      <xdr:colOff>1181100</xdr:colOff>
      <xdr:row>34</xdr:row>
      <xdr:rowOff>139228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9C1689C-CC69-E000-BA92-2553DA7D2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8126" y="21691000"/>
          <a:ext cx="942974" cy="158445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34</xdr:row>
      <xdr:rowOff>161925</xdr:rowOff>
    </xdr:from>
    <xdr:to>
      <xdr:col>0</xdr:col>
      <xdr:colOff>1216667</xdr:colOff>
      <xdr:row>37</xdr:row>
      <xdr:rowOff>1707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5CEFA6D-D6B5-97A7-127E-DD955A83F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9550" y="23298150"/>
          <a:ext cx="1007117" cy="1550836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39</xdr:row>
      <xdr:rowOff>32643</xdr:rowOff>
    </xdr:from>
    <xdr:to>
      <xdr:col>0</xdr:col>
      <xdr:colOff>1133475</xdr:colOff>
      <xdr:row>40</xdr:row>
      <xdr:rowOff>285936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2B15D01B-3E91-BC76-9EC7-2A3988BB8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3850" y="26369268"/>
          <a:ext cx="809625" cy="14439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37</xdr:row>
      <xdr:rowOff>22927</xdr:rowOff>
    </xdr:from>
    <xdr:to>
      <xdr:col>0</xdr:col>
      <xdr:colOff>1104899</xdr:colOff>
      <xdr:row>38</xdr:row>
      <xdr:rowOff>276224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15D6B626-9F8F-A77E-309A-538043C10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5750" y="24873652"/>
          <a:ext cx="819149" cy="14439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4</xdr:row>
      <xdr:rowOff>31752</xdr:rowOff>
    </xdr:from>
    <xdr:to>
      <xdr:col>1</xdr:col>
      <xdr:colOff>22803</xdr:colOff>
      <xdr:row>6</xdr:row>
      <xdr:rowOff>15876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B17BE7-C166-DADC-6B65-ED8A12BBB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1365252"/>
          <a:ext cx="673679" cy="873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6</xdr:row>
      <xdr:rowOff>95251</xdr:rowOff>
    </xdr:from>
    <xdr:to>
      <xdr:col>0</xdr:col>
      <xdr:colOff>579440</xdr:colOff>
      <xdr:row>7</xdr:row>
      <xdr:rowOff>221965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C2B7439-F8E8-3578-A7A6-FD375128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2" y="2317751"/>
          <a:ext cx="484188" cy="833152"/>
        </a:xfrm>
        <a:prstGeom prst="rect">
          <a:avLst/>
        </a:prstGeom>
      </xdr:spPr>
    </xdr:pic>
    <xdr:clientData/>
  </xdr:twoCellAnchor>
  <xdr:twoCellAnchor editAs="oneCell">
    <xdr:from>
      <xdr:col>0</xdr:col>
      <xdr:colOff>87310</xdr:colOff>
      <xdr:row>8</xdr:row>
      <xdr:rowOff>103187</xdr:rowOff>
    </xdr:from>
    <xdr:to>
      <xdr:col>0</xdr:col>
      <xdr:colOff>730250</xdr:colOff>
      <xdr:row>9</xdr:row>
      <xdr:rowOff>67053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F828B0D-B302-60E6-D9F2-7BF1C8D0D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310" y="3278187"/>
          <a:ext cx="642940" cy="82905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9</xdr:row>
      <xdr:rowOff>192536</xdr:rowOff>
    </xdr:from>
    <xdr:to>
      <xdr:col>0</xdr:col>
      <xdr:colOff>587375</xdr:colOff>
      <xdr:row>11</xdr:row>
      <xdr:rowOff>182563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8E8437A-C508-D6B7-7CD7-404E89BB3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4232724"/>
          <a:ext cx="523875" cy="855214"/>
        </a:xfrm>
        <a:prstGeom prst="rect">
          <a:avLst/>
        </a:prstGeom>
      </xdr:spPr>
    </xdr:pic>
    <xdr:clientData/>
  </xdr:twoCellAnchor>
  <xdr:oneCellAnchor>
    <xdr:from>
      <xdr:col>0</xdr:col>
      <xdr:colOff>111124</xdr:colOff>
      <xdr:row>1</xdr:row>
      <xdr:rowOff>214311</xdr:rowOff>
    </xdr:from>
    <xdr:ext cx="508001" cy="862727"/>
    <xdr:pic>
      <xdr:nvPicPr>
        <xdr:cNvPr id="13" name="Image 12">
          <a:extLst>
            <a:ext uri="{FF2B5EF4-FFF2-40B4-BE49-F238E27FC236}">
              <a16:creationId xmlns:a16="http://schemas.microsoft.com/office/drawing/2014/main" id="{BAFD5075-C1D5-4089-BCED-283E0E9F9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124" y="436561"/>
          <a:ext cx="508001" cy="862727"/>
        </a:xfrm>
        <a:prstGeom prst="rect">
          <a:avLst/>
        </a:prstGeom>
      </xdr:spPr>
    </xdr:pic>
    <xdr:clientData/>
  </xdr:oneCellAnchor>
  <xdr:twoCellAnchor editAs="oneCell">
    <xdr:from>
      <xdr:col>0</xdr:col>
      <xdr:colOff>63500</xdr:colOff>
      <xdr:row>12</xdr:row>
      <xdr:rowOff>23297</xdr:rowOff>
    </xdr:from>
    <xdr:to>
      <xdr:col>0</xdr:col>
      <xdr:colOff>564792</xdr:colOff>
      <xdr:row>13</xdr:row>
      <xdr:rowOff>182563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B1434C6-352C-0003-17E3-3BAD378E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0" y="5150922"/>
          <a:ext cx="501292" cy="8260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74343</xdr:rowOff>
    </xdr:from>
    <xdr:to>
      <xdr:col>1</xdr:col>
      <xdr:colOff>14510</xdr:colOff>
      <xdr:row>3</xdr:row>
      <xdr:rowOff>148684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977"/>
          <a:ext cx="767217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208001</xdr:rowOff>
    </xdr:from>
    <xdr:to>
      <xdr:col>1</xdr:col>
      <xdr:colOff>0</xdr:colOff>
      <xdr:row>7</xdr:row>
      <xdr:rowOff>263757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6123"/>
          <a:ext cx="752707" cy="752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159060</xdr:rowOff>
    </xdr:from>
    <xdr:to>
      <xdr:col>0</xdr:col>
      <xdr:colOff>693700</xdr:colOff>
      <xdr:row>10</xdr:row>
      <xdr:rowOff>7126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0792"/>
          <a:ext cx="693700" cy="693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130097</xdr:rowOff>
    </xdr:from>
    <xdr:to>
      <xdr:col>0</xdr:col>
      <xdr:colOff>715537</xdr:colOff>
      <xdr:row>13</xdr:row>
      <xdr:rowOff>223024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9560"/>
          <a:ext cx="715537" cy="715537"/>
        </a:xfrm>
        <a:prstGeom prst="rect">
          <a:avLst/>
        </a:prstGeom>
      </xdr:spPr>
    </xdr:pic>
    <xdr:clientData/>
  </xdr:twoCellAnchor>
  <xdr:twoCellAnchor editAs="oneCell">
    <xdr:from>
      <xdr:col>0</xdr:col>
      <xdr:colOff>125230</xdr:colOff>
      <xdr:row>10</xdr:row>
      <xdr:rowOff>102220</xdr:rowOff>
    </xdr:from>
    <xdr:to>
      <xdr:col>0</xdr:col>
      <xdr:colOff>483219</xdr:colOff>
      <xdr:row>11</xdr:row>
      <xdr:rowOff>209608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230" y="4209586"/>
          <a:ext cx="357989" cy="767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107752</xdr:colOff>
      <xdr:row>4</xdr:row>
      <xdr:rowOff>148683</xdr:rowOff>
    </xdr:from>
    <xdr:to>
      <xdr:col>0</xdr:col>
      <xdr:colOff>492513</xdr:colOff>
      <xdr:row>6</xdr:row>
      <xdr:rowOff>970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752" y="1533293"/>
          <a:ext cx="384761" cy="72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629225</xdr:colOff>
      <xdr:row>18</xdr:row>
      <xdr:rowOff>34542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443085"/>
          <a:ext cx="628650" cy="1068705"/>
        </a:xfrm>
        <a:prstGeom prst="rect">
          <a:avLst/>
        </a:prstGeom>
      </xdr:spPr>
    </xdr:pic>
    <xdr:clientData/>
  </xdr:twoCellAnchor>
  <xdr:twoCellAnchor editAs="oneCell">
    <xdr:from>
      <xdr:col>0</xdr:col>
      <xdr:colOff>72572</xdr:colOff>
      <xdr:row>15</xdr:row>
      <xdr:rowOff>54429</xdr:rowOff>
    </xdr:from>
    <xdr:to>
      <xdr:col>0</xdr:col>
      <xdr:colOff>670718</xdr:colOff>
      <xdr:row>16</xdr:row>
      <xdr:rowOff>73553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390" y="7407275"/>
          <a:ext cx="598170" cy="1022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997857</xdr:rowOff>
    </xdr:from>
    <xdr:to>
      <xdr:col>0</xdr:col>
      <xdr:colOff>690079</xdr:colOff>
      <xdr:row>16</xdr:row>
      <xdr:rowOff>1026050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8350885"/>
          <a:ext cx="689610" cy="1031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607786</xdr:colOff>
      <xdr:row>19</xdr:row>
      <xdr:rowOff>3000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477500"/>
          <a:ext cx="607695" cy="1075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45358</xdr:rowOff>
    </xdr:from>
    <xdr:to>
      <xdr:col>0</xdr:col>
      <xdr:colOff>653592</xdr:colOff>
      <xdr:row>20</xdr:row>
      <xdr:rowOff>98041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595100"/>
          <a:ext cx="653415" cy="1056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497792</xdr:colOff>
      <xdr:row>4</xdr:row>
      <xdr:rowOff>1478281</xdr:rowOff>
    </xdr:from>
    <xdr:to>
      <xdr:col>45</xdr:col>
      <xdr:colOff>581891</xdr:colOff>
      <xdr:row>4</xdr:row>
      <xdr:rowOff>1524000</xdr:rowOff>
    </xdr:to>
    <xdr:sp macro="" textlink="">
      <xdr:nvSpPr>
        <xdr:cNvPr id="3" name="ZoneTexte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7115356" y="4318463"/>
          <a:ext cx="84099" cy="45719"/>
        </a:xfrm>
        <a:prstGeom prst="rect">
          <a:avLst/>
        </a:prstGeom>
        <a:solidFill>
          <a:schemeClr val="bg1"/>
        </a:solidFill>
        <a:ln w="38100">
          <a:solidFill>
            <a:srgbClr val="FF3399"/>
          </a:solidFill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b="1"/>
        </a:p>
      </xdr:txBody>
    </xdr:sp>
    <xdr:clientData/>
  </xdr:twoCellAnchor>
  <xdr:twoCellAnchor>
    <xdr:from>
      <xdr:col>47</xdr:col>
      <xdr:colOff>190184</xdr:colOff>
      <xdr:row>3</xdr:row>
      <xdr:rowOff>466196</xdr:rowOff>
    </xdr:from>
    <xdr:to>
      <xdr:col>47</xdr:col>
      <xdr:colOff>340200</xdr:colOff>
      <xdr:row>3</xdr:row>
      <xdr:rowOff>591163</xdr:rowOff>
    </xdr:to>
    <xdr:sp macro="" textlink="">
      <xdr:nvSpPr>
        <xdr:cNvPr id="4" name="ZoneTexte 1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 flipH="1" flipV="1">
          <a:off x="38304039" y="1962487"/>
          <a:ext cx="150016" cy="124967"/>
        </a:xfrm>
        <a:prstGeom prst="rect">
          <a:avLst/>
        </a:prstGeom>
        <a:solidFill>
          <a:schemeClr val="tx2">
            <a:lumMod val="75000"/>
            <a:lumOff val="25000"/>
          </a:schemeClr>
        </a:solidFill>
        <a:ln w="38100">
          <a:solidFill>
            <a:schemeClr val="bg1">
              <a:lumMod val="95000"/>
            </a:schemeClr>
          </a:solidFill>
        </a:ln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800" b="1">
            <a:solidFill>
              <a:schemeClr val="bg1"/>
            </a:solidFill>
            <a:effectLst/>
            <a:latin typeface="Aptos" panose="020B0004020202020204" pitchFamily="34" charset="0"/>
            <a:ea typeface="Aptos" panose="020B0004020202020204" pitchFamily="34" charset="0"/>
            <a:cs typeface="Aptos" panose="020B0004020202020204" pitchFamily="34" charset="0"/>
          </a:endParaRPr>
        </a:p>
      </xdr:txBody>
    </xdr:sp>
    <xdr:clientData/>
  </xdr:twoCellAnchor>
  <xdr:twoCellAnchor>
    <xdr:from>
      <xdr:col>45</xdr:col>
      <xdr:colOff>356467</xdr:colOff>
      <xdr:row>3</xdr:row>
      <xdr:rowOff>641119</xdr:rowOff>
    </xdr:from>
    <xdr:to>
      <xdr:col>45</xdr:col>
      <xdr:colOff>437881</xdr:colOff>
      <xdr:row>3</xdr:row>
      <xdr:rowOff>738801</xdr:rowOff>
    </xdr:to>
    <xdr:sp macro="" textlink="">
      <xdr:nvSpPr>
        <xdr:cNvPr id="5" name="ZoneTexte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6974031" y="2137410"/>
          <a:ext cx="81414" cy="97682"/>
        </a:xfrm>
        <a:prstGeom prst="rect">
          <a:avLst/>
        </a:prstGeom>
        <a:solidFill>
          <a:srgbClr val="FF9966"/>
        </a:solidFill>
        <a:ln w="38100">
          <a:solidFill>
            <a:schemeClr val="bg1">
              <a:lumMod val="95000"/>
            </a:schemeClr>
          </a:solidFill>
        </a:ln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35</xdr:col>
      <xdr:colOff>240398</xdr:colOff>
      <xdr:row>46</xdr:row>
      <xdr:rowOff>11206</xdr:rowOff>
    </xdr:from>
    <xdr:to>
      <xdr:col>35</xdr:col>
      <xdr:colOff>286117</xdr:colOff>
      <xdr:row>46</xdr:row>
      <xdr:rowOff>78597</xdr:rowOff>
    </xdr:to>
    <xdr:sp macro="" textlink="">
      <xdr:nvSpPr>
        <xdr:cNvPr id="25" name="ZoneTexte 8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 flipV="1">
          <a:off x="29454133" y="17537206"/>
          <a:ext cx="45719" cy="67391"/>
        </a:xfrm>
        <a:prstGeom prst="rect">
          <a:avLst/>
        </a:prstGeom>
        <a:solidFill>
          <a:schemeClr val="bg1"/>
        </a:solidFill>
        <a:ln w="38100">
          <a:solidFill>
            <a:srgbClr val="FF3399"/>
          </a:solidFill>
        </a:ln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b="1"/>
        </a:p>
      </xdr:txBody>
    </xdr:sp>
    <xdr:clientData/>
  </xdr:twoCellAnchor>
  <xdr:twoCellAnchor>
    <xdr:from>
      <xdr:col>20</xdr:col>
      <xdr:colOff>97635</xdr:colOff>
      <xdr:row>104</xdr:row>
      <xdr:rowOff>162488</xdr:rowOff>
    </xdr:from>
    <xdr:to>
      <xdr:col>20</xdr:col>
      <xdr:colOff>193640</xdr:colOff>
      <xdr:row>105</xdr:row>
      <xdr:rowOff>49738</xdr:rowOff>
    </xdr:to>
    <xdr:sp macro="" textlink="">
      <xdr:nvSpPr>
        <xdr:cNvPr id="26" name="ZoneTexte 8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17976507" y="28530367"/>
          <a:ext cx="96005" cy="71358"/>
        </a:xfrm>
        <a:prstGeom prst="rect">
          <a:avLst/>
        </a:prstGeom>
        <a:solidFill>
          <a:schemeClr val="bg1"/>
        </a:solidFill>
        <a:ln w="38100">
          <a:solidFill>
            <a:srgbClr val="FF3399"/>
          </a:solidFill>
        </a:ln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b="1"/>
        </a:p>
      </xdr:txBody>
    </xdr:sp>
    <xdr:clientData/>
  </xdr:twoCellAnchor>
  <xdr:twoCellAnchor editAs="oneCell">
    <xdr:from>
      <xdr:col>0</xdr:col>
      <xdr:colOff>128422</xdr:colOff>
      <xdr:row>2</xdr:row>
      <xdr:rowOff>76088</xdr:rowOff>
    </xdr:from>
    <xdr:to>
      <xdr:col>2</xdr:col>
      <xdr:colOff>307571</xdr:colOff>
      <xdr:row>4</xdr:row>
      <xdr:rowOff>1697789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B79AB45-2FF8-26D3-07F8-94DE3A37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22" y="450404"/>
          <a:ext cx="3160307" cy="4108227"/>
        </a:xfrm>
        <a:prstGeom prst="rect">
          <a:avLst/>
        </a:prstGeom>
      </xdr:spPr>
    </xdr:pic>
    <xdr:clientData/>
  </xdr:twoCellAnchor>
  <xdr:twoCellAnchor editAs="oneCell">
    <xdr:from>
      <xdr:col>0</xdr:col>
      <xdr:colOff>86895</xdr:colOff>
      <xdr:row>6</xdr:row>
      <xdr:rowOff>741689</xdr:rowOff>
    </xdr:from>
    <xdr:to>
      <xdr:col>2</xdr:col>
      <xdr:colOff>513914</xdr:colOff>
      <xdr:row>11</xdr:row>
      <xdr:rowOff>998785</xdr:rowOff>
    </xdr:to>
    <xdr:pic>
      <xdr:nvPicPr>
        <xdr:cNvPr id="20" name="Image 7">
          <a:extLst>
            <a:ext uri="{FF2B5EF4-FFF2-40B4-BE49-F238E27FC236}">
              <a16:creationId xmlns:a16="http://schemas.microsoft.com/office/drawing/2014/main" id="{DDF13E58-61B1-B8F0-05F9-EEA1A535F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95" y="4899268"/>
          <a:ext cx="3408177" cy="4332726"/>
        </a:xfrm>
        <a:prstGeom prst="rect">
          <a:avLst/>
        </a:prstGeom>
      </xdr:spPr>
    </xdr:pic>
    <xdr:clientData/>
  </xdr:twoCellAnchor>
  <xdr:twoCellAnchor>
    <xdr:from>
      <xdr:col>2</xdr:col>
      <xdr:colOff>1332069</xdr:colOff>
      <xdr:row>2</xdr:row>
      <xdr:rowOff>748870</xdr:rowOff>
    </xdr:from>
    <xdr:to>
      <xdr:col>6</xdr:col>
      <xdr:colOff>48940</xdr:colOff>
      <xdr:row>4</xdr:row>
      <xdr:rowOff>1002870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7900EA63-90D3-FC82-AC3E-465ACE9A851E}"/>
            </a:ext>
          </a:extLst>
        </xdr:cNvPr>
        <xdr:cNvSpPr/>
      </xdr:nvSpPr>
      <xdr:spPr>
        <a:xfrm>
          <a:off x="4312033" y="1102656"/>
          <a:ext cx="3166407" cy="2730500"/>
        </a:xfrm>
        <a:prstGeom prst="rect">
          <a:avLst/>
        </a:prstGeom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fr-FR" sz="2400" b="1">
              <a:solidFill>
                <a:schemeClr val="dk1"/>
              </a:solidFill>
              <a:effectLst/>
              <a:latin typeface="Amasis MT Pro" panose="02040504050005020304" pitchFamily="18" charset="0"/>
              <a:ea typeface="+mn-ea"/>
              <a:cs typeface="+mn-cs"/>
            </a:rPr>
            <a:t>Display Serviette</a:t>
          </a:r>
          <a:r>
            <a:rPr lang="fr-FR" sz="2400" b="1" baseline="0">
              <a:solidFill>
                <a:schemeClr val="dk1"/>
              </a:solidFill>
              <a:effectLst/>
              <a:latin typeface="Amasis MT Pro" panose="02040504050005020304" pitchFamily="18" charset="0"/>
              <a:ea typeface="+mn-ea"/>
              <a:cs typeface="+mn-cs"/>
            </a:rPr>
            <a:t> pour chien </a:t>
          </a:r>
        </a:p>
        <a:p>
          <a:endParaRPr lang="fr-FR" sz="2400" b="1">
            <a:solidFill>
              <a:schemeClr val="dk1"/>
            </a:solidFill>
            <a:effectLst/>
            <a:latin typeface="Amasis MT Pro" panose="02040504050005020304" pitchFamily="18" charset="0"/>
            <a:ea typeface="+mn-ea"/>
            <a:cs typeface="+mn-cs"/>
          </a:endParaRPr>
        </a:p>
        <a:p>
          <a:r>
            <a:rPr lang="fr-FR" sz="2400" b="1">
              <a:solidFill>
                <a:schemeClr val="dk1"/>
              </a:solidFill>
              <a:effectLst/>
              <a:latin typeface="Amasis MT Pro" panose="02040504050005020304" pitchFamily="18" charset="0"/>
              <a:ea typeface="+mn-ea"/>
              <a:cs typeface="+mn-cs"/>
            </a:rPr>
            <a:t>Assortiments de 30 serviettes</a:t>
          </a:r>
        </a:p>
        <a:p>
          <a:endParaRPr lang="fr-FR" sz="2400" b="1">
            <a:effectLst/>
            <a:latin typeface="Amasis MT Pro" panose="02040504050005020304" pitchFamily="18" charset="0"/>
          </a:endParaRPr>
        </a:p>
        <a:p>
          <a:r>
            <a:rPr lang="fr-FR" sz="2400" b="1">
              <a:solidFill>
                <a:schemeClr val="dk1"/>
              </a:solidFill>
              <a:effectLst/>
              <a:latin typeface="Amasis MT Pro" panose="02040504050005020304" pitchFamily="18" charset="0"/>
              <a:ea typeface="+mn-ea"/>
              <a:cs typeface="+mn-cs"/>
            </a:rPr>
            <a:t>PA: 306,96€</a:t>
          </a:r>
          <a:endParaRPr lang="fr-FR" sz="2400">
            <a:effectLst/>
            <a:latin typeface="Amasis MT Pro" panose="02040504050005020304" pitchFamily="18" charset="0"/>
          </a:endParaRPr>
        </a:p>
        <a:p>
          <a:pPr algn="l"/>
          <a:endParaRPr lang="fr-FR" sz="1100"/>
        </a:p>
      </xdr:txBody>
    </xdr:sp>
    <xdr:clientData/>
  </xdr:twoCellAnchor>
  <xdr:twoCellAnchor>
    <xdr:from>
      <xdr:col>2</xdr:col>
      <xdr:colOff>1328057</xdr:colOff>
      <xdr:row>8</xdr:row>
      <xdr:rowOff>122466</xdr:rowOff>
    </xdr:from>
    <xdr:to>
      <xdr:col>6</xdr:col>
      <xdr:colOff>8164</xdr:colOff>
      <xdr:row>11</xdr:row>
      <xdr:rowOff>312965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F7E26C58-5821-472B-4853-C2E756612BEF}"/>
            </a:ext>
          </a:extLst>
        </xdr:cNvPr>
        <xdr:cNvSpPr/>
      </xdr:nvSpPr>
      <xdr:spPr>
        <a:xfrm>
          <a:off x="4308021" y="6218466"/>
          <a:ext cx="3129643" cy="2680606"/>
        </a:xfrm>
        <a:prstGeom prst="rect">
          <a:avLst/>
        </a:prstGeom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fr-FR" sz="2400" b="1">
              <a:solidFill>
                <a:schemeClr val="dk1"/>
              </a:solidFill>
              <a:effectLst/>
              <a:latin typeface="Amasis MT Pro" panose="02040504050005020304" pitchFamily="18" charset="0"/>
              <a:ea typeface="+mn-ea"/>
              <a:cs typeface="+mn-cs"/>
            </a:rPr>
            <a:t>Display</a:t>
          </a:r>
          <a:r>
            <a:rPr lang="fr-FR" sz="2400" b="1" baseline="0">
              <a:solidFill>
                <a:schemeClr val="dk1"/>
              </a:solidFill>
              <a:effectLst/>
              <a:latin typeface="Amasis MT Pro" panose="02040504050005020304" pitchFamily="18" charset="0"/>
              <a:ea typeface="+mn-ea"/>
              <a:cs typeface="+mn-cs"/>
            </a:rPr>
            <a:t> serviette pour cheveux</a:t>
          </a:r>
        </a:p>
        <a:p>
          <a:endParaRPr lang="fr-FR" sz="2400" b="1">
            <a:effectLst/>
            <a:latin typeface="Amasis MT Pro" panose="02040504050005020304" pitchFamily="18" charset="0"/>
          </a:endParaRPr>
        </a:p>
        <a:p>
          <a:r>
            <a:rPr lang="fr-FR" sz="2400" b="1" baseline="0">
              <a:solidFill>
                <a:schemeClr val="dk1"/>
              </a:solidFill>
              <a:effectLst/>
              <a:latin typeface="Amasis MT Pro" panose="02040504050005020304" pitchFamily="18" charset="0"/>
              <a:ea typeface="+mn-ea"/>
              <a:cs typeface="+mn-cs"/>
            </a:rPr>
            <a:t>Assortiments de 24 serviettes</a:t>
          </a:r>
        </a:p>
        <a:p>
          <a:endParaRPr lang="fr-FR" sz="2400" b="1" baseline="0">
            <a:solidFill>
              <a:schemeClr val="dk1"/>
            </a:solidFill>
            <a:effectLst/>
            <a:latin typeface="Amasis MT Pro" panose="02040504050005020304" pitchFamily="18" charset="0"/>
            <a:ea typeface="+mn-ea"/>
            <a:cs typeface="+mn-cs"/>
          </a:endParaRPr>
        </a:p>
        <a:p>
          <a:r>
            <a:rPr lang="fr-FR" sz="2400" b="1" baseline="0">
              <a:solidFill>
                <a:schemeClr val="dk1"/>
              </a:solidFill>
              <a:effectLst/>
              <a:latin typeface="Amasis MT Pro" panose="02040504050005020304" pitchFamily="18" charset="0"/>
              <a:ea typeface="+mn-ea"/>
              <a:cs typeface="+mn-cs"/>
            </a:rPr>
            <a:t>PA : 160€</a:t>
          </a:r>
          <a:endParaRPr lang="fr-FR" sz="2400" b="1">
            <a:effectLst/>
            <a:latin typeface="Amasis MT Pro" panose="02040504050005020304" pitchFamily="18" charset="0"/>
          </a:endParaRPr>
        </a:p>
        <a:p>
          <a:pPr algn="l"/>
          <a:endParaRPr lang="fr-FR" sz="1100"/>
        </a:p>
      </xdr:txBody>
    </xdr:sp>
    <xdr:clientData/>
  </xdr:twoCellAnchor>
  <xdr:twoCellAnchor>
    <xdr:from>
      <xdr:col>17</xdr:col>
      <xdr:colOff>521212</xdr:colOff>
      <xdr:row>7</xdr:row>
      <xdr:rowOff>299356</xdr:rowOff>
    </xdr:from>
    <xdr:to>
      <xdr:col>17</xdr:col>
      <xdr:colOff>571500</xdr:colOff>
      <xdr:row>7</xdr:row>
      <xdr:rowOff>491631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68683A55-F3C3-5E16-69FE-E40F7487DFCF}"/>
            </a:ext>
          </a:extLst>
        </xdr:cNvPr>
        <xdr:cNvSpPr txBox="1"/>
      </xdr:nvSpPr>
      <xdr:spPr>
        <a:xfrm>
          <a:off x="16183033" y="5538106"/>
          <a:ext cx="50288" cy="192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edia.dockandbay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B742-19EE-4CD2-8113-FBEB405D47E8}">
  <dimension ref="A1:O225"/>
  <sheetViews>
    <sheetView topLeftCell="A159" zoomScale="69" zoomScaleNormal="69" workbookViewId="0">
      <selection activeCell="J163" sqref="J163"/>
    </sheetView>
  </sheetViews>
  <sheetFormatPr baseColWidth="10" defaultColWidth="11" defaultRowHeight="18"/>
  <cols>
    <col min="1" max="1" width="21.21875" style="134" customWidth="1"/>
    <col min="2" max="2" width="33.44140625" style="204" customWidth="1"/>
    <col min="3" max="3" width="31.77734375" style="65" customWidth="1"/>
    <col min="4" max="4" width="24.21875" style="266" customWidth="1"/>
    <col min="5" max="5" width="19.77734375" style="259" customWidth="1"/>
    <col min="6" max="6" width="12.21875" style="265" customWidth="1"/>
    <col min="7" max="7" width="13.21875" style="259" customWidth="1"/>
    <col min="8" max="8" width="18" style="64" customWidth="1"/>
    <col min="9" max="9" width="16.77734375" style="64" customWidth="1"/>
    <col min="10" max="10" width="17.77734375" style="120" customWidth="1"/>
    <col min="12" max="12" width="92.77734375" customWidth="1"/>
    <col min="13" max="13" width="78.21875" customWidth="1"/>
    <col min="14" max="14" width="0.21875" customWidth="1"/>
    <col min="15" max="15" width="27.21875" customWidth="1"/>
  </cols>
  <sheetData>
    <row r="1" spans="1:15" ht="34.5" customHeight="1">
      <c r="A1" s="215"/>
      <c r="B1" s="216" t="s">
        <v>0</v>
      </c>
      <c r="C1" s="217" t="s">
        <v>1</v>
      </c>
      <c r="D1" s="198" t="s">
        <v>2</v>
      </c>
      <c r="E1" s="198" t="s">
        <v>3</v>
      </c>
      <c r="F1" s="218" t="s">
        <v>4</v>
      </c>
      <c r="G1" s="198" t="s">
        <v>5</v>
      </c>
      <c r="H1" s="198" t="s">
        <v>470</v>
      </c>
      <c r="I1" s="219" t="s">
        <v>6</v>
      </c>
      <c r="J1" s="198" t="s">
        <v>7</v>
      </c>
      <c r="L1" s="2"/>
      <c r="M1" s="2"/>
      <c r="N1" s="1"/>
      <c r="O1" s="2"/>
    </row>
    <row r="2" spans="1:15" ht="34.5" customHeight="1" thickBot="1">
      <c r="A2" s="135"/>
      <c r="B2" s="220" t="s">
        <v>8</v>
      </c>
      <c r="C2" s="221"/>
      <c r="D2" s="201"/>
      <c r="E2" s="199"/>
      <c r="F2" s="222"/>
      <c r="G2" s="199"/>
      <c r="H2" s="199"/>
      <c r="I2" s="236"/>
      <c r="J2" s="201"/>
      <c r="L2" s="268" t="s">
        <v>9</v>
      </c>
      <c r="M2" s="268"/>
    </row>
    <row r="3" spans="1:15" s="29" customFormat="1" ht="26.1" customHeight="1">
      <c r="A3" s="134"/>
      <c r="B3" s="224" t="s">
        <v>10</v>
      </c>
      <c r="C3" s="225" t="s">
        <v>11</v>
      </c>
      <c r="D3" s="226" t="s">
        <v>12</v>
      </c>
      <c r="E3" s="202" t="s">
        <v>13</v>
      </c>
      <c r="F3" s="227">
        <v>12.5</v>
      </c>
      <c r="G3" s="228">
        <v>34</v>
      </c>
      <c r="H3" s="202">
        <v>6</v>
      </c>
      <c r="I3" s="223"/>
      <c r="J3" s="229">
        <f t="shared" ref="J3:J30" si="0">I3*F3</f>
        <v>0</v>
      </c>
      <c r="L3" s="142" t="s">
        <v>14</v>
      </c>
      <c r="M3" s="143"/>
    </row>
    <row r="4" spans="1:15" s="30" customFormat="1" ht="33.6" customHeight="1">
      <c r="A4" s="134"/>
      <c r="B4" s="224" t="s">
        <v>15</v>
      </c>
      <c r="C4" s="225" t="s">
        <v>16</v>
      </c>
      <c r="D4" s="226" t="s">
        <v>12</v>
      </c>
      <c r="E4" s="202" t="s">
        <v>17</v>
      </c>
      <c r="F4" s="227">
        <v>14.16</v>
      </c>
      <c r="G4" s="228">
        <v>30</v>
      </c>
      <c r="H4" s="202">
        <v>6</v>
      </c>
      <c r="I4" s="223"/>
      <c r="J4" s="229">
        <f t="shared" si="0"/>
        <v>0</v>
      </c>
      <c r="L4" s="144" t="s">
        <v>18</v>
      </c>
      <c r="M4" s="214" t="s">
        <v>469</v>
      </c>
    </row>
    <row r="5" spans="1:15" ht="45.45" customHeight="1" thickBot="1">
      <c r="B5" s="224" t="s">
        <v>19</v>
      </c>
      <c r="C5" s="225" t="s">
        <v>20</v>
      </c>
      <c r="D5" s="230" t="s">
        <v>21</v>
      </c>
      <c r="E5" s="202" t="s">
        <v>13</v>
      </c>
      <c r="F5" s="227">
        <v>12.5</v>
      </c>
      <c r="G5" s="228">
        <v>34</v>
      </c>
      <c r="H5" s="202">
        <v>6</v>
      </c>
      <c r="I5" s="223"/>
      <c r="J5" s="229">
        <f t="shared" si="0"/>
        <v>0</v>
      </c>
      <c r="L5" s="145" t="s">
        <v>22</v>
      </c>
      <c r="M5" s="146" t="s">
        <v>23</v>
      </c>
    </row>
    <row r="6" spans="1:15" ht="19.95" customHeight="1" thickBot="1">
      <c r="B6" s="224" t="s">
        <v>24</v>
      </c>
      <c r="C6" s="225" t="s">
        <v>25</v>
      </c>
      <c r="D6" s="230" t="s">
        <v>21</v>
      </c>
      <c r="E6" s="202" t="s">
        <v>17</v>
      </c>
      <c r="F6" s="227">
        <v>14.16</v>
      </c>
      <c r="G6" s="228">
        <v>30</v>
      </c>
      <c r="H6" s="202">
        <v>6</v>
      </c>
      <c r="I6" s="223"/>
      <c r="J6" s="229">
        <f t="shared" si="0"/>
        <v>0</v>
      </c>
      <c r="L6" s="30"/>
      <c r="M6" s="30"/>
      <c r="N6" s="30"/>
      <c r="O6" s="1"/>
    </row>
    <row r="7" spans="1:15" ht="54" customHeight="1">
      <c r="B7" s="202" t="s">
        <v>26</v>
      </c>
      <c r="C7" s="225" t="s">
        <v>27</v>
      </c>
      <c r="D7" s="230" t="s">
        <v>28</v>
      </c>
      <c r="E7" s="202" t="s">
        <v>13</v>
      </c>
      <c r="F7" s="227">
        <v>12.5</v>
      </c>
      <c r="G7" s="228">
        <v>34</v>
      </c>
      <c r="H7" s="202">
        <v>6</v>
      </c>
      <c r="I7" s="223"/>
      <c r="J7" s="229">
        <f t="shared" si="0"/>
        <v>0</v>
      </c>
      <c r="L7" s="147" t="s">
        <v>29</v>
      </c>
      <c r="M7" s="148"/>
      <c r="N7" s="149"/>
    </row>
    <row r="8" spans="1:15" ht="22.2" customHeight="1">
      <c r="B8" s="224" t="s">
        <v>30</v>
      </c>
      <c r="C8" s="231" t="s">
        <v>31</v>
      </c>
      <c r="D8" s="230" t="s">
        <v>28</v>
      </c>
      <c r="E8" s="224" t="s">
        <v>17</v>
      </c>
      <c r="F8" s="227">
        <v>14.16</v>
      </c>
      <c r="G8" s="232">
        <v>30</v>
      </c>
      <c r="H8" s="202">
        <v>6</v>
      </c>
      <c r="I8" s="223"/>
      <c r="J8" s="233">
        <f t="shared" si="0"/>
        <v>0</v>
      </c>
      <c r="L8" s="151" t="s">
        <v>32</v>
      </c>
      <c r="M8" s="152"/>
      <c r="N8" s="149"/>
    </row>
    <row r="9" spans="1:15" ht="70.2" customHeight="1">
      <c r="B9" s="224" t="s">
        <v>33</v>
      </c>
      <c r="C9" s="225" t="s">
        <v>34</v>
      </c>
      <c r="D9" s="230" t="s">
        <v>35</v>
      </c>
      <c r="E9" s="202" t="s">
        <v>13</v>
      </c>
      <c r="F9" s="227">
        <v>12.5</v>
      </c>
      <c r="G9" s="228">
        <v>34</v>
      </c>
      <c r="H9" s="202">
        <v>6</v>
      </c>
      <c r="I9" s="223"/>
      <c r="J9" s="229">
        <f t="shared" si="0"/>
        <v>0</v>
      </c>
      <c r="L9" s="151" t="s">
        <v>36</v>
      </c>
      <c r="M9" s="153"/>
      <c r="N9" s="154"/>
    </row>
    <row r="10" spans="1:15" ht="22.2" customHeight="1">
      <c r="B10" s="224" t="s">
        <v>37</v>
      </c>
      <c r="C10" s="225" t="s">
        <v>38</v>
      </c>
      <c r="D10" s="230" t="s">
        <v>35</v>
      </c>
      <c r="E10" s="202" t="s">
        <v>17</v>
      </c>
      <c r="F10" s="227">
        <v>14.16</v>
      </c>
      <c r="G10" s="228">
        <v>30</v>
      </c>
      <c r="H10" s="202">
        <v>6</v>
      </c>
      <c r="I10" s="223"/>
      <c r="J10" s="229">
        <f t="shared" si="0"/>
        <v>0</v>
      </c>
      <c r="L10" s="155" t="s">
        <v>39</v>
      </c>
      <c r="M10" s="156"/>
      <c r="N10" s="157"/>
    </row>
    <row r="11" spans="1:15" ht="60" customHeight="1">
      <c r="B11" s="202" t="s">
        <v>40</v>
      </c>
      <c r="C11" s="225" t="s">
        <v>41</v>
      </c>
      <c r="D11" s="230" t="s">
        <v>42</v>
      </c>
      <c r="E11" s="202" t="s">
        <v>13</v>
      </c>
      <c r="F11" s="227">
        <v>12.5</v>
      </c>
      <c r="G11" s="228">
        <v>34</v>
      </c>
      <c r="H11" s="202">
        <v>6</v>
      </c>
      <c r="I11" s="223"/>
      <c r="J11" s="229">
        <f t="shared" si="0"/>
        <v>0</v>
      </c>
      <c r="L11" s="151" t="s">
        <v>43</v>
      </c>
      <c r="M11" s="156"/>
      <c r="N11" s="157"/>
    </row>
    <row r="12" spans="1:15" ht="18" customHeight="1">
      <c r="B12" s="224" t="s">
        <v>44</v>
      </c>
      <c r="C12" s="231" t="s">
        <v>45</v>
      </c>
      <c r="D12" s="230" t="s">
        <v>42</v>
      </c>
      <c r="E12" s="224" t="s">
        <v>17</v>
      </c>
      <c r="F12" s="227">
        <v>14.16</v>
      </c>
      <c r="G12" s="232">
        <v>30</v>
      </c>
      <c r="H12" s="202">
        <v>6</v>
      </c>
      <c r="I12" s="223"/>
      <c r="J12" s="233">
        <f t="shared" si="0"/>
        <v>0</v>
      </c>
      <c r="L12" s="151" t="s">
        <v>46</v>
      </c>
      <c r="M12" s="158"/>
      <c r="N12" s="159"/>
    </row>
    <row r="13" spans="1:15" ht="59.7" customHeight="1" thickBot="1">
      <c r="B13" s="202" t="s">
        <v>47</v>
      </c>
      <c r="C13" s="225" t="s">
        <v>48</v>
      </c>
      <c r="D13" s="230" t="s">
        <v>49</v>
      </c>
      <c r="E13" s="202" t="s">
        <v>13</v>
      </c>
      <c r="F13" s="227">
        <v>12.5</v>
      </c>
      <c r="G13" s="228">
        <v>34</v>
      </c>
      <c r="H13" s="202">
        <v>6</v>
      </c>
      <c r="I13" s="223"/>
      <c r="J13" s="229">
        <f t="shared" si="0"/>
        <v>0</v>
      </c>
      <c r="L13" s="160" t="s">
        <v>50</v>
      </c>
      <c r="M13" s="161"/>
      <c r="N13" s="157"/>
    </row>
    <row r="14" spans="1:15" ht="19.95" customHeight="1">
      <c r="B14" s="202" t="s">
        <v>51</v>
      </c>
      <c r="C14" s="225" t="s">
        <v>52</v>
      </c>
      <c r="D14" s="230" t="s">
        <v>49</v>
      </c>
      <c r="E14" s="202" t="s">
        <v>17</v>
      </c>
      <c r="F14" s="227">
        <v>14.16</v>
      </c>
      <c r="G14" s="228">
        <v>34</v>
      </c>
      <c r="H14" s="202">
        <v>6</v>
      </c>
      <c r="I14" s="223"/>
      <c r="J14" s="229">
        <f t="shared" si="0"/>
        <v>0</v>
      </c>
      <c r="N14" s="29"/>
    </row>
    <row r="15" spans="1:15" ht="55.5" customHeight="1">
      <c r="B15" s="224" t="s">
        <v>53</v>
      </c>
      <c r="C15" s="225" t="s">
        <v>54</v>
      </c>
      <c r="D15" s="230" t="s">
        <v>55</v>
      </c>
      <c r="E15" s="202" t="s">
        <v>13</v>
      </c>
      <c r="F15" s="227">
        <v>12.5</v>
      </c>
      <c r="G15" s="228">
        <v>34</v>
      </c>
      <c r="H15" s="202">
        <v>6</v>
      </c>
      <c r="I15" s="223"/>
      <c r="J15" s="229">
        <f t="shared" si="0"/>
        <v>0</v>
      </c>
      <c r="L15" s="162"/>
      <c r="O15" s="29"/>
    </row>
    <row r="16" spans="1:15" ht="22.2" customHeight="1">
      <c r="B16" s="224" t="s">
        <v>56</v>
      </c>
      <c r="C16" s="231" t="s">
        <v>57</v>
      </c>
      <c r="D16" s="230" t="s">
        <v>55</v>
      </c>
      <c r="E16" s="224" t="s">
        <v>17</v>
      </c>
      <c r="F16" s="227">
        <v>14.16</v>
      </c>
      <c r="G16" s="228">
        <v>30</v>
      </c>
      <c r="H16" s="202">
        <v>6</v>
      </c>
      <c r="I16" s="223"/>
      <c r="J16" s="233">
        <f t="shared" si="0"/>
        <v>0</v>
      </c>
      <c r="O16" s="29"/>
    </row>
    <row r="17" spans="1:15" ht="58.2" customHeight="1">
      <c r="B17" s="224" t="s">
        <v>58</v>
      </c>
      <c r="C17" s="225" t="s">
        <v>59</v>
      </c>
      <c r="D17" s="230" t="s">
        <v>60</v>
      </c>
      <c r="E17" s="202" t="s">
        <v>13</v>
      </c>
      <c r="F17" s="227">
        <v>12.5</v>
      </c>
      <c r="G17" s="228">
        <v>34</v>
      </c>
      <c r="H17" s="202">
        <v>6</v>
      </c>
      <c r="I17" s="223"/>
      <c r="J17" s="229">
        <f t="shared" si="0"/>
        <v>0</v>
      </c>
      <c r="N17" s="29"/>
    </row>
    <row r="18" spans="1:15" ht="22.95" customHeight="1">
      <c r="B18" s="224" t="s">
        <v>61</v>
      </c>
      <c r="C18" s="231" t="s">
        <v>62</v>
      </c>
      <c r="D18" s="230" t="s">
        <v>60</v>
      </c>
      <c r="E18" s="224" t="s">
        <v>17</v>
      </c>
      <c r="F18" s="227">
        <v>14.16</v>
      </c>
      <c r="G18" s="228">
        <v>30</v>
      </c>
      <c r="H18" s="202">
        <v>6</v>
      </c>
      <c r="I18" s="223"/>
      <c r="J18" s="233">
        <f t="shared" si="0"/>
        <v>0</v>
      </c>
      <c r="N18" s="29"/>
    </row>
    <row r="19" spans="1:15" ht="59.7" customHeight="1">
      <c r="B19" s="202" t="s">
        <v>63</v>
      </c>
      <c r="C19" s="225" t="s">
        <v>64</v>
      </c>
      <c r="D19" s="230" t="s">
        <v>65</v>
      </c>
      <c r="E19" s="202" t="s">
        <v>13</v>
      </c>
      <c r="F19" s="227">
        <v>10.83</v>
      </c>
      <c r="G19" s="228">
        <v>26</v>
      </c>
      <c r="H19" s="202">
        <v>6</v>
      </c>
      <c r="I19" s="223"/>
      <c r="J19" s="229">
        <f t="shared" si="0"/>
        <v>0</v>
      </c>
      <c r="O19" s="29"/>
    </row>
    <row r="20" spans="1:15" ht="22.5" customHeight="1">
      <c r="B20" s="224" t="s">
        <v>66</v>
      </c>
      <c r="C20" s="231" t="s">
        <v>67</v>
      </c>
      <c r="D20" s="230" t="s">
        <v>65</v>
      </c>
      <c r="E20" s="224" t="s">
        <v>17</v>
      </c>
      <c r="F20" s="234">
        <v>12.5</v>
      </c>
      <c r="G20" s="232">
        <v>30</v>
      </c>
      <c r="H20" s="202">
        <v>6</v>
      </c>
      <c r="I20" s="223"/>
      <c r="J20" s="233">
        <f t="shared" si="0"/>
        <v>0</v>
      </c>
      <c r="O20" s="29"/>
    </row>
    <row r="21" spans="1:15" ht="52.95" customHeight="1">
      <c r="B21" s="224" t="s">
        <v>68</v>
      </c>
      <c r="C21" s="225" t="s">
        <v>69</v>
      </c>
      <c r="D21" s="230" t="s">
        <v>70</v>
      </c>
      <c r="E21" s="202" t="s">
        <v>13</v>
      </c>
      <c r="F21" s="234">
        <v>12.5</v>
      </c>
      <c r="G21" s="232">
        <v>30</v>
      </c>
      <c r="H21" s="202">
        <v>6</v>
      </c>
      <c r="I21" s="223"/>
      <c r="J21" s="229">
        <f t="shared" si="0"/>
        <v>0</v>
      </c>
    </row>
    <row r="22" spans="1:15" ht="21" customHeight="1">
      <c r="B22" s="224" t="s">
        <v>71</v>
      </c>
      <c r="C22" s="225" t="s">
        <v>72</v>
      </c>
      <c r="D22" s="230" t="s">
        <v>70</v>
      </c>
      <c r="E22" s="202" t="s">
        <v>17</v>
      </c>
      <c r="F22" s="227">
        <v>14.16</v>
      </c>
      <c r="G22" s="228">
        <v>34</v>
      </c>
      <c r="H22" s="202">
        <v>6</v>
      </c>
      <c r="I22" s="223"/>
      <c r="J22" s="229">
        <f t="shared" si="0"/>
        <v>0</v>
      </c>
    </row>
    <row r="23" spans="1:15" ht="57.45" customHeight="1">
      <c r="B23" s="224" t="s">
        <v>73</v>
      </c>
      <c r="C23" s="225" t="s">
        <v>74</v>
      </c>
      <c r="D23" s="230" t="s">
        <v>75</v>
      </c>
      <c r="E23" s="202" t="s">
        <v>13</v>
      </c>
      <c r="F23" s="227">
        <v>12.5</v>
      </c>
      <c r="G23" s="228">
        <v>30</v>
      </c>
      <c r="H23" s="202">
        <v>6</v>
      </c>
      <c r="I23" s="223"/>
      <c r="J23" s="229">
        <f t="shared" si="0"/>
        <v>0</v>
      </c>
    </row>
    <row r="24" spans="1:15" ht="18" customHeight="1">
      <c r="B24" s="224" t="s">
        <v>76</v>
      </c>
      <c r="C24" s="225" t="s">
        <v>77</v>
      </c>
      <c r="D24" s="230" t="s">
        <v>75</v>
      </c>
      <c r="E24" s="202" t="s">
        <v>17</v>
      </c>
      <c r="F24" s="227">
        <v>14.16</v>
      </c>
      <c r="G24" s="228">
        <v>34</v>
      </c>
      <c r="H24" s="202">
        <v>6</v>
      </c>
      <c r="I24" s="223"/>
      <c r="J24" s="229">
        <f t="shared" si="0"/>
        <v>0</v>
      </c>
    </row>
    <row r="25" spans="1:15" ht="53.7" customHeight="1">
      <c r="B25" s="224" t="s">
        <v>78</v>
      </c>
      <c r="C25" s="225" t="s">
        <v>79</v>
      </c>
      <c r="D25" s="230" t="s">
        <v>80</v>
      </c>
      <c r="E25" s="202" t="s">
        <v>13</v>
      </c>
      <c r="F25" s="227">
        <v>12.5</v>
      </c>
      <c r="G25" s="228">
        <v>30</v>
      </c>
      <c r="H25" s="202">
        <v>6</v>
      </c>
      <c r="I25" s="223"/>
      <c r="J25" s="229">
        <f t="shared" si="0"/>
        <v>0</v>
      </c>
    </row>
    <row r="26" spans="1:15" ht="19.95" customHeight="1">
      <c r="B26" s="224" t="s">
        <v>81</v>
      </c>
      <c r="C26" s="225" t="s">
        <v>82</v>
      </c>
      <c r="D26" s="230" t="s">
        <v>80</v>
      </c>
      <c r="E26" s="202" t="s">
        <v>17</v>
      </c>
      <c r="F26" s="227">
        <v>14.16</v>
      </c>
      <c r="G26" s="228">
        <v>34</v>
      </c>
      <c r="H26" s="202">
        <v>6</v>
      </c>
      <c r="I26" s="223"/>
      <c r="J26" s="229">
        <f t="shared" si="0"/>
        <v>0</v>
      </c>
    </row>
    <row r="27" spans="1:15" ht="49.95" customHeight="1">
      <c r="B27" s="224" t="s">
        <v>83</v>
      </c>
      <c r="C27" s="225" t="s">
        <v>84</v>
      </c>
      <c r="D27" s="230" t="s">
        <v>85</v>
      </c>
      <c r="E27" s="202" t="s">
        <v>13</v>
      </c>
      <c r="F27" s="227">
        <v>12.5</v>
      </c>
      <c r="G27" s="228">
        <v>30</v>
      </c>
      <c r="H27" s="202">
        <v>6</v>
      </c>
      <c r="I27" s="223"/>
      <c r="J27" s="229">
        <f t="shared" si="0"/>
        <v>0</v>
      </c>
    </row>
    <row r="28" spans="1:15" ht="19.95" customHeight="1">
      <c r="B28" s="224" t="s">
        <v>86</v>
      </c>
      <c r="C28" s="225" t="s">
        <v>87</v>
      </c>
      <c r="D28" s="226" t="s">
        <v>85</v>
      </c>
      <c r="E28" s="202" t="s">
        <v>17</v>
      </c>
      <c r="F28" s="227">
        <v>14.16</v>
      </c>
      <c r="G28" s="228">
        <v>34</v>
      </c>
      <c r="H28" s="202">
        <v>6</v>
      </c>
      <c r="I28" s="223"/>
      <c r="J28" s="229">
        <f t="shared" si="0"/>
        <v>0</v>
      </c>
    </row>
    <row r="29" spans="1:15" ht="57.45" customHeight="1">
      <c r="B29" s="224" t="s">
        <v>88</v>
      </c>
      <c r="C29" s="225" t="s">
        <v>89</v>
      </c>
      <c r="D29" s="226" t="s">
        <v>90</v>
      </c>
      <c r="E29" s="202" t="s">
        <v>13</v>
      </c>
      <c r="F29" s="227">
        <v>12.5</v>
      </c>
      <c r="G29" s="228">
        <v>30</v>
      </c>
      <c r="H29" s="202">
        <v>6</v>
      </c>
      <c r="I29" s="223"/>
      <c r="J29" s="229">
        <f t="shared" si="0"/>
        <v>0</v>
      </c>
    </row>
    <row r="30" spans="1:15" ht="16.2" customHeight="1">
      <c r="B30" s="224" t="s">
        <v>91</v>
      </c>
      <c r="C30" s="231" t="s">
        <v>92</v>
      </c>
      <c r="D30" s="226" t="s">
        <v>90</v>
      </c>
      <c r="E30" s="224" t="s">
        <v>17</v>
      </c>
      <c r="F30" s="234">
        <v>14.16</v>
      </c>
      <c r="G30" s="232">
        <v>34</v>
      </c>
      <c r="H30" s="202">
        <v>6</v>
      </c>
      <c r="I30" s="223"/>
      <c r="J30" s="233">
        <f t="shared" si="0"/>
        <v>0</v>
      </c>
    </row>
    <row r="31" spans="1:15" ht="24.45" customHeight="1">
      <c r="A31" s="135"/>
      <c r="B31" s="201" t="s">
        <v>93</v>
      </c>
      <c r="C31" s="221"/>
      <c r="D31" s="201"/>
      <c r="E31" s="199"/>
      <c r="F31" s="235"/>
      <c r="G31" s="200"/>
      <c r="H31" s="200"/>
      <c r="I31" s="236"/>
      <c r="J31" s="236"/>
    </row>
    <row r="32" spans="1:15" ht="71.7" customHeight="1">
      <c r="B32" s="172" t="s">
        <v>277</v>
      </c>
      <c r="C32" s="176" t="str">
        <f ca="1">IFERROR(__xludf.DUMMYFUNCTION("""COMPUTED_VALUE"""),"5061011628275")</f>
        <v>5061011628275</v>
      </c>
      <c r="D32" s="174" t="s">
        <v>278</v>
      </c>
      <c r="E32" s="202" t="s">
        <v>13</v>
      </c>
      <c r="F32" s="227">
        <v>14.16</v>
      </c>
      <c r="G32" s="228">
        <v>34</v>
      </c>
      <c r="H32" s="202">
        <v>6</v>
      </c>
      <c r="I32" s="223"/>
      <c r="J32" s="229">
        <f t="shared" ref="J32:J51" si="1">I32*F32</f>
        <v>0</v>
      </c>
    </row>
    <row r="33" spans="2:10" ht="21.45" customHeight="1">
      <c r="B33" s="172" t="s">
        <v>279</v>
      </c>
      <c r="C33" s="176" t="str">
        <f ca="1">IFERROR(__xludf.DUMMYFUNCTION("""COMPUTED_VALUE"""),"5061011628312")</f>
        <v>5061011628312</v>
      </c>
      <c r="D33" s="174" t="s">
        <v>278</v>
      </c>
      <c r="E33" s="224" t="s">
        <v>17</v>
      </c>
      <c r="F33" s="234">
        <v>15.83</v>
      </c>
      <c r="G33" s="232">
        <v>38</v>
      </c>
      <c r="H33" s="202">
        <v>6</v>
      </c>
      <c r="I33" s="223"/>
      <c r="J33" s="233">
        <f t="shared" si="1"/>
        <v>0</v>
      </c>
    </row>
    <row r="34" spans="2:10" ht="71.7" customHeight="1">
      <c r="B34" s="172" t="s">
        <v>280</v>
      </c>
      <c r="C34" s="176" t="str">
        <f ca="1">IFERROR(__xludf.DUMMYFUNCTION("""COMPUTED_VALUE"""),"5061011628282")</f>
        <v>5061011628282</v>
      </c>
      <c r="D34" s="174" t="s">
        <v>281</v>
      </c>
      <c r="E34" s="202" t="s">
        <v>13</v>
      </c>
      <c r="F34" s="227">
        <v>14.16</v>
      </c>
      <c r="G34" s="228">
        <v>34</v>
      </c>
      <c r="H34" s="202">
        <v>6</v>
      </c>
      <c r="I34" s="223"/>
      <c r="J34" s="229">
        <f t="shared" si="1"/>
        <v>0</v>
      </c>
    </row>
    <row r="35" spans="2:10" ht="21.45" customHeight="1">
      <c r="B35" s="172" t="s">
        <v>282</v>
      </c>
      <c r="C35" s="176" t="str">
        <f ca="1">IFERROR(__xludf.DUMMYFUNCTION("""COMPUTED_VALUE"""),"5061011628329")</f>
        <v>5061011628329</v>
      </c>
      <c r="D35" s="174" t="s">
        <v>281</v>
      </c>
      <c r="E35" s="224" t="s">
        <v>17</v>
      </c>
      <c r="F35" s="234">
        <v>15.83</v>
      </c>
      <c r="G35" s="232">
        <v>38</v>
      </c>
      <c r="H35" s="202">
        <v>6</v>
      </c>
      <c r="I35" s="223"/>
      <c r="J35" s="233">
        <f t="shared" si="1"/>
        <v>0</v>
      </c>
    </row>
    <row r="36" spans="2:10" ht="71.7" customHeight="1">
      <c r="B36" s="172" t="s">
        <v>283</v>
      </c>
      <c r="C36" s="176" t="str">
        <f ca="1">IFERROR(__xludf.DUMMYFUNCTION("""COMPUTED_VALUE"""),"5061011628299")</f>
        <v>5061011628299</v>
      </c>
      <c r="D36" s="174" t="s">
        <v>284</v>
      </c>
      <c r="E36" s="202" t="s">
        <v>13</v>
      </c>
      <c r="F36" s="227">
        <v>14.16</v>
      </c>
      <c r="G36" s="228">
        <v>34</v>
      </c>
      <c r="H36" s="202">
        <v>6</v>
      </c>
      <c r="I36" s="223"/>
      <c r="J36" s="229">
        <f t="shared" si="1"/>
        <v>0</v>
      </c>
    </row>
    <row r="37" spans="2:10" ht="21.45" customHeight="1">
      <c r="B37" s="172" t="s">
        <v>285</v>
      </c>
      <c r="C37" s="176" t="str">
        <f ca="1">IFERROR(__xludf.DUMMYFUNCTION("""COMPUTED_VALUE"""),"5061011628336")</f>
        <v>5061011628336</v>
      </c>
      <c r="D37" s="174" t="s">
        <v>284</v>
      </c>
      <c r="E37" s="224" t="s">
        <v>17</v>
      </c>
      <c r="F37" s="234">
        <v>15.83</v>
      </c>
      <c r="G37" s="232">
        <v>38</v>
      </c>
      <c r="H37" s="202">
        <v>6</v>
      </c>
      <c r="I37" s="223"/>
      <c r="J37" s="233">
        <f t="shared" si="1"/>
        <v>0</v>
      </c>
    </row>
    <row r="38" spans="2:10" ht="71.7" customHeight="1">
      <c r="B38" s="172" t="s">
        <v>286</v>
      </c>
      <c r="C38" s="176" t="str">
        <f ca="1">IFERROR(__xludf.DUMMYFUNCTION("""COMPUTED_VALUE"""),"5061011628305")</f>
        <v>5061011628305</v>
      </c>
      <c r="D38" s="174" t="s">
        <v>287</v>
      </c>
      <c r="E38" s="202" t="s">
        <v>13</v>
      </c>
      <c r="F38" s="227">
        <v>14.16</v>
      </c>
      <c r="G38" s="228">
        <v>34</v>
      </c>
      <c r="H38" s="202">
        <v>6</v>
      </c>
      <c r="I38" s="223"/>
      <c r="J38" s="229">
        <f t="shared" si="1"/>
        <v>0</v>
      </c>
    </row>
    <row r="39" spans="2:10" ht="21.45" customHeight="1">
      <c r="B39" s="173" t="s">
        <v>288</v>
      </c>
      <c r="C39" s="176" t="str">
        <f ca="1">IFERROR(__xludf.DUMMYFUNCTION("""COMPUTED_VALUE"""),"5061011628343")</f>
        <v>5061011628343</v>
      </c>
      <c r="D39" s="175" t="s">
        <v>287</v>
      </c>
      <c r="E39" s="224" t="s">
        <v>17</v>
      </c>
      <c r="F39" s="234">
        <v>15.83</v>
      </c>
      <c r="G39" s="232">
        <v>38</v>
      </c>
      <c r="H39" s="202">
        <v>6</v>
      </c>
      <c r="I39" s="223"/>
      <c r="J39" s="233">
        <f t="shared" si="1"/>
        <v>0</v>
      </c>
    </row>
    <row r="40" spans="2:10" ht="71.7" customHeight="1">
      <c r="B40" s="237" t="str">
        <f ca="1">IFERROR(__xludf.DUMMYFUNCTION("""COMPUTED_VALUE"""),"TOWLB-SUM-LG-CSTCANDY")</f>
        <v>TOWLB-SUM-LG-CSTCANDY</v>
      </c>
      <c r="C40" s="238" t="str">
        <f ca="1">IFERROR(__xludf.DUMMYFUNCTION("""COMPUTED_VALUE"""),"5061011623362")</f>
        <v>5061011623362</v>
      </c>
      <c r="D40" s="230" t="s">
        <v>94</v>
      </c>
      <c r="E40" s="202" t="s">
        <v>13</v>
      </c>
      <c r="F40" s="227">
        <v>14.16</v>
      </c>
      <c r="G40" s="228">
        <v>34</v>
      </c>
      <c r="H40" s="202">
        <v>6</v>
      </c>
      <c r="I40" s="223"/>
      <c r="J40" s="229">
        <f t="shared" si="1"/>
        <v>0</v>
      </c>
    </row>
    <row r="41" spans="2:10" ht="21.45" customHeight="1">
      <c r="B41" s="237" t="str">
        <f ca="1">IFERROR(__xludf.DUMMYFUNCTION("""COMPUTED_VALUE"""),"TOWLB-SUM-XL-CSTCANDY")</f>
        <v>TOWLB-SUM-XL-CSTCANDY</v>
      </c>
      <c r="C41" s="238" t="str">
        <f ca="1">IFERROR(__xludf.DUMMYFUNCTION("""COMPUTED_VALUE"""),"5061011623430")</f>
        <v>5061011623430</v>
      </c>
      <c r="D41" s="226" t="s">
        <v>94</v>
      </c>
      <c r="E41" s="224" t="s">
        <v>17</v>
      </c>
      <c r="F41" s="234">
        <v>15.83</v>
      </c>
      <c r="G41" s="232">
        <v>38</v>
      </c>
      <c r="H41" s="202">
        <v>6</v>
      </c>
      <c r="I41" s="223"/>
      <c r="J41" s="233">
        <f t="shared" si="1"/>
        <v>0</v>
      </c>
    </row>
    <row r="42" spans="2:10" ht="66.45" customHeight="1">
      <c r="B42" s="237" t="str">
        <f ca="1">IFERROR(__xludf.DUMMYFUNCTION("""COMPUTED_VALUE"""),"TOWLB-SUM-LG-MIAMI")</f>
        <v>TOWLB-SUM-LG-MIAMI</v>
      </c>
      <c r="C42" s="238" t="str">
        <f ca="1">IFERROR(__xludf.DUMMYFUNCTION("""COMPUTED_VALUE"""),"5061011623379")</f>
        <v>5061011623379</v>
      </c>
      <c r="D42" s="230" t="s">
        <v>95</v>
      </c>
      <c r="E42" s="202" t="s">
        <v>13</v>
      </c>
      <c r="F42" s="227">
        <v>14.16</v>
      </c>
      <c r="G42" s="228">
        <v>34</v>
      </c>
      <c r="H42" s="202">
        <v>6</v>
      </c>
      <c r="I42" s="223"/>
      <c r="J42" s="229">
        <f t="shared" si="1"/>
        <v>0</v>
      </c>
    </row>
    <row r="43" spans="2:10" ht="19.5" customHeight="1">
      <c r="B43" s="237" t="str">
        <f ca="1">IFERROR(__xludf.DUMMYFUNCTION("""COMPUTED_VALUE"""),"TOWLB-SUM-XL-MIAMI")</f>
        <v>TOWLB-SUM-XL-MIAMI</v>
      </c>
      <c r="C43" s="238" t="str">
        <f ca="1">IFERROR(__xludf.DUMMYFUNCTION("""COMPUTED_VALUE"""),"5061011623447")</f>
        <v>5061011623447</v>
      </c>
      <c r="D43" s="230" t="s">
        <v>95</v>
      </c>
      <c r="E43" s="202" t="s">
        <v>17</v>
      </c>
      <c r="F43" s="227">
        <v>15.83</v>
      </c>
      <c r="G43" s="228">
        <v>38</v>
      </c>
      <c r="H43" s="202">
        <v>6</v>
      </c>
      <c r="I43" s="223"/>
      <c r="J43" s="229">
        <f t="shared" si="1"/>
        <v>0</v>
      </c>
    </row>
    <row r="44" spans="2:10" ht="60" customHeight="1">
      <c r="B44" s="237" t="str">
        <f ca="1">IFERROR(__xludf.DUMMYFUNCTION("""COMPUTED_VALUE"""),"TOWLB-SUM-LG-COLAGN")</f>
        <v>TOWLB-SUM-LG-COLAGN</v>
      </c>
      <c r="C44" s="238" t="str">
        <f ca="1">IFERROR(__xludf.DUMMYFUNCTION("""COMPUTED_VALUE"""),"5061011623386")</f>
        <v>5061011623386</v>
      </c>
      <c r="D44" s="226" t="s">
        <v>96</v>
      </c>
      <c r="E44" s="224" t="s">
        <v>13</v>
      </c>
      <c r="F44" s="234">
        <v>14.16</v>
      </c>
      <c r="G44" s="232">
        <v>34</v>
      </c>
      <c r="H44" s="202">
        <v>6</v>
      </c>
      <c r="I44" s="223"/>
      <c r="J44" s="233">
        <f t="shared" si="1"/>
        <v>0</v>
      </c>
    </row>
    <row r="45" spans="2:10" ht="21.45" customHeight="1">
      <c r="B45" s="237" t="str">
        <f ca="1">IFERROR(__xludf.DUMMYFUNCTION("""COMPUTED_VALUE"""),"TOWLB-SUM-XL-COLAGN")</f>
        <v>TOWLB-SUM-XL-COLAGN</v>
      </c>
      <c r="C45" s="238" t="s">
        <v>243</v>
      </c>
      <c r="D45" s="226" t="s">
        <v>96</v>
      </c>
      <c r="E45" s="224" t="s">
        <v>17</v>
      </c>
      <c r="F45" s="234">
        <v>15.83</v>
      </c>
      <c r="G45" s="232">
        <v>38</v>
      </c>
      <c r="H45" s="202">
        <v>6</v>
      </c>
      <c r="I45" s="223"/>
      <c r="J45" s="233">
        <f t="shared" si="1"/>
        <v>0</v>
      </c>
    </row>
    <row r="46" spans="2:10" ht="60" customHeight="1">
      <c r="B46" s="239" t="s">
        <v>291</v>
      </c>
      <c r="C46" s="240">
        <v>5061011626240</v>
      </c>
      <c r="D46" s="230" t="s">
        <v>289</v>
      </c>
      <c r="E46" s="202" t="s">
        <v>13</v>
      </c>
      <c r="F46" s="227">
        <v>14.16</v>
      </c>
      <c r="G46" s="228">
        <v>34</v>
      </c>
      <c r="H46" s="202">
        <v>6</v>
      </c>
      <c r="I46" s="223"/>
      <c r="J46" s="229">
        <f t="shared" si="1"/>
        <v>0</v>
      </c>
    </row>
    <row r="47" spans="2:10" ht="21.45" customHeight="1">
      <c r="B47" s="239" t="s">
        <v>292</v>
      </c>
      <c r="C47" s="240">
        <v>5061011626264</v>
      </c>
      <c r="D47" s="226" t="s">
        <v>289</v>
      </c>
      <c r="E47" s="224" t="s">
        <v>17</v>
      </c>
      <c r="F47" s="234">
        <v>15.83</v>
      </c>
      <c r="G47" s="232">
        <v>38</v>
      </c>
      <c r="H47" s="202">
        <v>6</v>
      </c>
      <c r="I47" s="223"/>
      <c r="J47" s="233">
        <f t="shared" si="1"/>
        <v>0</v>
      </c>
    </row>
    <row r="48" spans="2:10" ht="60" customHeight="1">
      <c r="B48" s="239" t="s">
        <v>293</v>
      </c>
      <c r="C48" s="240">
        <v>5061011626257</v>
      </c>
      <c r="D48" s="230" t="s">
        <v>290</v>
      </c>
      <c r="E48" s="202" t="s">
        <v>13</v>
      </c>
      <c r="F48" s="227">
        <v>14.16</v>
      </c>
      <c r="G48" s="228">
        <v>34</v>
      </c>
      <c r="H48" s="202">
        <v>6</v>
      </c>
      <c r="I48" s="223"/>
      <c r="J48" s="229">
        <f t="shared" si="1"/>
        <v>0</v>
      </c>
    </row>
    <row r="49" spans="1:12" ht="21.45" customHeight="1">
      <c r="B49" s="239" t="s">
        <v>490</v>
      </c>
      <c r="C49" s="240">
        <v>5061011626271</v>
      </c>
      <c r="D49" s="226" t="s">
        <v>290</v>
      </c>
      <c r="E49" s="224" t="s">
        <v>17</v>
      </c>
      <c r="F49" s="234">
        <v>15.83</v>
      </c>
      <c r="G49" s="232">
        <v>38</v>
      </c>
      <c r="H49" s="202">
        <v>6</v>
      </c>
      <c r="I49" s="223"/>
      <c r="J49" s="233">
        <f t="shared" si="1"/>
        <v>0</v>
      </c>
    </row>
    <row r="50" spans="1:12" ht="64.5" customHeight="1">
      <c r="B50" s="239" t="s">
        <v>97</v>
      </c>
      <c r="C50" s="240">
        <v>5060668831311</v>
      </c>
      <c r="D50" s="226" t="s">
        <v>491</v>
      </c>
      <c r="E50" s="202" t="s">
        <v>13</v>
      </c>
      <c r="F50" s="227">
        <v>14.16</v>
      </c>
      <c r="G50" s="232">
        <v>34</v>
      </c>
      <c r="H50" s="202">
        <v>6</v>
      </c>
      <c r="I50" s="223"/>
      <c r="J50" s="233">
        <f t="shared" si="1"/>
        <v>0</v>
      </c>
    </row>
    <row r="51" spans="1:12" ht="43.5" customHeight="1">
      <c r="B51" s="239" t="s">
        <v>489</v>
      </c>
      <c r="C51" s="240">
        <v>5060668831380</v>
      </c>
      <c r="D51" s="226" t="s">
        <v>491</v>
      </c>
      <c r="E51" s="224" t="s">
        <v>17</v>
      </c>
      <c r="F51" s="234">
        <v>15.83</v>
      </c>
      <c r="G51" s="232">
        <v>38</v>
      </c>
      <c r="H51" s="202">
        <v>6</v>
      </c>
      <c r="I51" s="223"/>
      <c r="J51" s="233">
        <f t="shared" si="1"/>
        <v>0</v>
      </c>
    </row>
    <row r="52" spans="1:12" ht="33.450000000000003" customHeight="1">
      <c r="A52" s="135"/>
      <c r="B52" s="201" t="s">
        <v>244</v>
      </c>
      <c r="C52" s="221"/>
      <c r="D52" s="201"/>
      <c r="E52" s="199"/>
      <c r="F52" s="235"/>
      <c r="G52" s="200"/>
      <c r="H52" s="236"/>
      <c r="I52" s="236"/>
      <c r="J52" s="236"/>
    </row>
    <row r="53" spans="1:12" ht="78" customHeight="1">
      <c r="B53" s="64" t="s">
        <v>245</v>
      </c>
      <c r="C53" s="240">
        <v>5061011625199</v>
      </c>
      <c r="D53" s="120" t="s">
        <v>253</v>
      </c>
      <c r="E53" s="202" t="s">
        <v>13</v>
      </c>
      <c r="F53" s="227">
        <v>14.16</v>
      </c>
      <c r="G53" s="228">
        <v>34</v>
      </c>
      <c r="H53" s="202">
        <v>6</v>
      </c>
      <c r="I53" s="223"/>
      <c r="J53" s="229">
        <f t="shared" ref="J53:J75" si="2">I53*F53</f>
        <v>0</v>
      </c>
    </row>
    <row r="54" spans="1:12" ht="21.45" customHeight="1">
      <c r="A54" s="141"/>
      <c r="B54" s="64" t="s">
        <v>254</v>
      </c>
      <c r="C54" s="241">
        <v>5061011625267</v>
      </c>
      <c r="D54" s="120" t="s">
        <v>253</v>
      </c>
      <c r="E54" s="224" t="s">
        <v>17</v>
      </c>
      <c r="F54" s="234">
        <v>15.83</v>
      </c>
      <c r="G54" s="232">
        <v>38</v>
      </c>
      <c r="H54" s="202">
        <v>6</v>
      </c>
      <c r="I54" s="223"/>
      <c r="J54" s="233">
        <f t="shared" si="2"/>
        <v>0</v>
      </c>
    </row>
    <row r="55" spans="1:12" ht="90" customHeight="1">
      <c r="B55" s="64" t="s">
        <v>246</v>
      </c>
      <c r="C55" s="242">
        <v>5061011625182</v>
      </c>
      <c r="D55" s="120" t="s">
        <v>265</v>
      </c>
      <c r="E55" s="202" t="s">
        <v>13</v>
      </c>
      <c r="F55" s="227">
        <v>14.16</v>
      </c>
      <c r="G55" s="228">
        <v>34</v>
      </c>
      <c r="H55" s="202">
        <v>6</v>
      </c>
      <c r="I55" s="223"/>
      <c r="J55" s="229">
        <f t="shared" si="2"/>
        <v>0</v>
      </c>
    </row>
    <row r="56" spans="1:12" ht="15.45" customHeight="1">
      <c r="B56" s="64" t="s">
        <v>255</v>
      </c>
      <c r="C56" s="240">
        <v>5061011625250</v>
      </c>
      <c r="D56" s="120" t="s">
        <v>265</v>
      </c>
      <c r="E56" s="202" t="s">
        <v>17</v>
      </c>
      <c r="F56" s="227">
        <v>15.83</v>
      </c>
      <c r="G56" s="228">
        <v>38</v>
      </c>
      <c r="H56" s="202">
        <v>6</v>
      </c>
      <c r="I56" s="223"/>
      <c r="J56" s="229">
        <f t="shared" si="2"/>
        <v>0</v>
      </c>
    </row>
    <row r="57" spans="1:12" ht="67.2" customHeight="1">
      <c r="B57" s="64" t="s">
        <v>247</v>
      </c>
      <c r="C57" s="242">
        <v>5061011625205</v>
      </c>
      <c r="D57" s="120" t="s">
        <v>266</v>
      </c>
      <c r="E57" s="202" t="s">
        <v>13</v>
      </c>
      <c r="F57" s="227">
        <v>14.16</v>
      </c>
      <c r="G57" s="228">
        <v>34</v>
      </c>
      <c r="H57" s="202">
        <v>6</v>
      </c>
      <c r="I57" s="223"/>
      <c r="J57" s="229">
        <f t="shared" si="2"/>
        <v>0</v>
      </c>
    </row>
    <row r="58" spans="1:12" ht="19.5" customHeight="1">
      <c r="B58" s="64" t="s">
        <v>256</v>
      </c>
      <c r="C58" s="242">
        <v>5061011625374</v>
      </c>
      <c r="D58" s="120" t="s">
        <v>266</v>
      </c>
      <c r="E58" s="202" t="s">
        <v>17</v>
      </c>
      <c r="F58" s="227">
        <v>15.83</v>
      </c>
      <c r="G58" s="228">
        <v>38</v>
      </c>
      <c r="H58" s="202">
        <v>6</v>
      </c>
      <c r="I58" s="223"/>
      <c r="J58" s="229">
        <f t="shared" si="2"/>
        <v>0</v>
      </c>
    </row>
    <row r="59" spans="1:12" ht="82.95" customHeight="1">
      <c r="B59" s="64" t="s">
        <v>248</v>
      </c>
      <c r="C59" s="242">
        <v>5061011625168</v>
      </c>
      <c r="D59" s="120" t="s">
        <v>267</v>
      </c>
      <c r="E59" s="202" t="s">
        <v>13</v>
      </c>
      <c r="F59" s="227">
        <v>14.16</v>
      </c>
      <c r="G59" s="228">
        <v>34</v>
      </c>
      <c r="H59" s="202">
        <v>6</v>
      </c>
      <c r="I59" s="223"/>
      <c r="J59" s="229">
        <f t="shared" si="2"/>
        <v>0</v>
      </c>
    </row>
    <row r="60" spans="1:12" ht="22.5" customHeight="1">
      <c r="B60" s="64" t="s">
        <v>257</v>
      </c>
      <c r="C60" s="242">
        <v>5061011625236</v>
      </c>
      <c r="D60" s="120" t="s">
        <v>267</v>
      </c>
      <c r="E60" s="202" t="s">
        <v>17</v>
      </c>
      <c r="F60" s="227">
        <v>15.83</v>
      </c>
      <c r="G60" s="228">
        <v>38</v>
      </c>
      <c r="H60" s="202">
        <v>6</v>
      </c>
      <c r="I60" s="223"/>
      <c r="J60" s="229">
        <f t="shared" si="2"/>
        <v>0</v>
      </c>
      <c r="L60" s="267"/>
    </row>
    <row r="61" spans="1:12" ht="79.95" customHeight="1">
      <c r="A61" s="141"/>
      <c r="B61" s="243" t="s">
        <v>249</v>
      </c>
      <c r="C61" s="242">
        <v>5061011212</v>
      </c>
      <c r="D61" s="120" t="s">
        <v>268</v>
      </c>
      <c r="E61" s="224" t="s">
        <v>13</v>
      </c>
      <c r="F61" s="234">
        <v>14.16</v>
      </c>
      <c r="G61" s="232">
        <v>34</v>
      </c>
      <c r="H61" s="202">
        <v>6</v>
      </c>
      <c r="I61" s="223"/>
      <c r="J61" s="233">
        <f t="shared" si="2"/>
        <v>0</v>
      </c>
    </row>
    <row r="62" spans="1:12" ht="26.7" customHeight="1">
      <c r="A62" s="141"/>
      <c r="B62" s="244" t="s">
        <v>258</v>
      </c>
      <c r="C62" s="242">
        <v>5061011281</v>
      </c>
      <c r="D62" s="120" t="s">
        <v>268</v>
      </c>
      <c r="E62" s="224" t="s">
        <v>17</v>
      </c>
      <c r="F62" s="234">
        <v>15.83</v>
      </c>
      <c r="G62" s="232">
        <v>38</v>
      </c>
      <c r="H62" s="202">
        <v>6</v>
      </c>
      <c r="I62" s="223"/>
      <c r="J62" s="233">
        <f t="shared" si="2"/>
        <v>0</v>
      </c>
    </row>
    <row r="63" spans="1:12" ht="99.45" customHeight="1">
      <c r="B63" s="64" t="s">
        <v>250</v>
      </c>
      <c r="C63" s="242">
        <v>5061011298</v>
      </c>
      <c r="D63" s="120" t="s">
        <v>269</v>
      </c>
      <c r="E63" s="202" t="s">
        <v>13</v>
      </c>
      <c r="F63" s="227">
        <v>14.16</v>
      </c>
      <c r="G63" s="228">
        <v>34</v>
      </c>
      <c r="H63" s="202">
        <v>6</v>
      </c>
      <c r="I63" s="223"/>
      <c r="J63" s="229">
        <f t="shared" si="2"/>
        <v>0</v>
      </c>
    </row>
    <row r="64" spans="1:12" ht="25.95" customHeight="1">
      <c r="B64" s="64" t="s">
        <v>259</v>
      </c>
      <c r="C64" s="242">
        <v>5061011311</v>
      </c>
      <c r="D64" s="120" t="s">
        <v>269</v>
      </c>
      <c r="E64" s="202" t="s">
        <v>17</v>
      </c>
      <c r="F64" s="227">
        <v>15.83</v>
      </c>
      <c r="G64" s="228">
        <v>38</v>
      </c>
      <c r="H64" s="202">
        <v>6</v>
      </c>
      <c r="I64" s="223"/>
      <c r="J64" s="229">
        <f t="shared" si="2"/>
        <v>0</v>
      </c>
    </row>
    <row r="65" spans="1:10" ht="66" customHeight="1">
      <c r="B65" s="64" t="s">
        <v>251</v>
      </c>
      <c r="C65" s="242">
        <v>5061011625304</v>
      </c>
      <c r="D65" s="120" t="s">
        <v>270</v>
      </c>
      <c r="E65" s="202" t="s">
        <v>13</v>
      </c>
      <c r="F65" s="227">
        <v>14.16</v>
      </c>
      <c r="G65" s="228">
        <v>34</v>
      </c>
      <c r="H65" s="202">
        <v>6</v>
      </c>
      <c r="I65" s="223"/>
      <c r="J65" s="229">
        <f t="shared" si="2"/>
        <v>0</v>
      </c>
    </row>
    <row r="66" spans="1:10" ht="20.7" customHeight="1">
      <c r="B66" s="64" t="s">
        <v>260</v>
      </c>
      <c r="C66" s="242">
        <v>5061011625328</v>
      </c>
      <c r="D66" s="120" t="s">
        <v>270</v>
      </c>
      <c r="E66" s="202" t="s">
        <v>17</v>
      </c>
      <c r="F66" s="227">
        <v>15.83</v>
      </c>
      <c r="G66" s="228">
        <v>38</v>
      </c>
      <c r="H66" s="202">
        <v>6</v>
      </c>
      <c r="I66" s="223"/>
      <c r="J66" s="229">
        <f t="shared" si="2"/>
        <v>0</v>
      </c>
    </row>
    <row r="67" spans="1:10" ht="77.55" customHeight="1">
      <c r="A67" s="141"/>
      <c r="B67" s="64" t="s">
        <v>252</v>
      </c>
      <c r="C67" s="242">
        <v>5061011625168</v>
      </c>
      <c r="D67" s="120" t="s">
        <v>271</v>
      </c>
      <c r="E67" s="202" t="s">
        <v>13</v>
      </c>
      <c r="F67" s="227">
        <v>14.16</v>
      </c>
      <c r="G67" s="228">
        <v>34</v>
      </c>
      <c r="H67" s="202">
        <v>6</v>
      </c>
      <c r="I67" s="223"/>
      <c r="J67" s="233">
        <f t="shared" si="2"/>
        <v>0</v>
      </c>
    </row>
    <row r="68" spans="1:10" ht="22.2" hidden="1" customHeight="1">
      <c r="A68" s="141"/>
      <c r="B68" s="237"/>
      <c r="C68" s="238"/>
      <c r="D68" s="120" t="s">
        <v>271</v>
      </c>
      <c r="E68" s="202" t="s">
        <v>17</v>
      </c>
      <c r="F68" s="227">
        <v>15.83</v>
      </c>
      <c r="G68" s="228">
        <v>38</v>
      </c>
      <c r="H68" s="202">
        <v>6</v>
      </c>
      <c r="I68" s="223"/>
      <c r="J68" s="233">
        <f t="shared" si="2"/>
        <v>0</v>
      </c>
    </row>
    <row r="69" spans="1:10" ht="20.7" customHeight="1">
      <c r="B69" s="64" t="s">
        <v>261</v>
      </c>
      <c r="C69" s="242">
        <v>5061011625236</v>
      </c>
      <c r="D69" s="120" t="s">
        <v>271</v>
      </c>
      <c r="E69" s="202" t="s">
        <v>17</v>
      </c>
      <c r="F69" s="227">
        <v>15.83</v>
      </c>
      <c r="G69" s="228">
        <v>38</v>
      </c>
      <c r="H69" s="202">
        <v>6</v>
      </c>
      <c r="I69" s="223"/>
      <c r="J69" s="229">
        <f t="shared" si="2"/>
        <v>0</v>
      </c>
    </row>
    <row r="70" spans="1:10" ht="54" customHeight="1">
      <c r="A70" s="141"/>
      <c r="B70" s="64" t="s">
        <v>275</v>
      </c>
      <c r="C70" s="242">
        <v>5061011625175</v>
      </c>
      <c r="D70" s="120" t="s">
        <v>272</v>
      </c>
      <c r="E70" s="202" t="s">
        <v>13</v>
      </c>
      <c r="F70" s="227">
        <v>14.16</v>
      </c>
      <c r="G70" s="228">
        <v>34</v>
      </c>
      <c r="H70" s="202">
        <v>6</v>
      </c>
      <c r="I70" s="223"/>
      <c r="J70" s="229">
        <f t="shared" si="2"/>
        <v>0</v>
      </c>
    </row>
    <row r="71" spans="1:10" ht="22.2" hidden="1" customHeight="1">
      <c r="A71" s="141"/>
      <c r="B71" s="237"/>
      <c r="C71" s="238"/>
      <c r="D71" s="120" t="s">
        <v>272</v>
      </c>
      <c r="E71" s="202" t="s">
        <v>17</v>
      </c>
      <c r="F71" s="227">
        <v>15.83</v>
      </c>
      <c r="G71" s="228">
        <v>38</v>
      </c>
      <c r="H71" s="202">
        <v>6</v>
      </c>
      <c r="I71" s="223"/>
      <c r="J71" s="233">
        <f t="shared" si="2"/>
        <v>0</v>
      </c>
    </row>
    <row r="72" spans="1:10" ht="20.7" customHeight="1">
      <c r="B72" s="64" t="s">
        <v>276</v>
      </c>
      <c r="C72" s="242">
        <v>5061011625243</v>
      </c>
      <c r="D72" s="120" t="s">
        <v>272</v>
      </c>
      <c r="E72" s="202" t="s">
        <v>17</v>
      </c>
      <c r="F72" s="227">
        <v>15.83</v>
      </c>
      <c r="G72" s="228">
        <v>38</v>
      </c>
      <c r="H72" s="202">
        <v>6</v>
      </c>
      <c r="I72" s="223"/>
      <c r="J72" s="229">
        <f t="shared" si="2"/>
        <v>0</v>
      </c>
    </row>
    <row r="73" spans="1:10" ht="64.95" customHeight="1">
      <c r="A73" s="141"/>
      <c r="B73" s="64" t="s">
        <v>99</v>
      </c>
      <c r="C73" s="242">
        <v>5061011625416</v>
      </c>
      <c r="D73" s="120" t="s">
        <v>273</v>
      </c>
      <c r="E73" s="202" t="s">
        <v>13</v>
      </c>
      <c r="F73" s="227">
        <v>14.16</v>
      </c>
      <c r="G73" s="228">
        <v>34</v>
      </c>
      <c r="H73" s="202">
        <v>6</v>
      </c>
      <c r="I73" s="223"/>
      <c r="J73" s="233">
        <f t="shared" si="2"/>
        <v>0</v>
      </c>
    </row>
    <row r="74" spans="1:10" ht="22.2" hidden="1" customHeight="1">
      <c r="A74" s="141"/>
      <c r="B74" s="237"/>
      <c r="C74" s="238"/>
      <c r="D74" s="120" t="s">
        <v>273</v>
      </c>
      <c r="E74" s="202" t="s">
        <v>17</v>
      </c>
      <c r="F74" s="227">
        <v>15.83</v>
      </c>
      <c r="G74" s="228">
        <v>38</v>
      </c>
      <c r="H74" s="202">
        <v>6</v>
      </c>
      <c r="I74" s="223"/>
      <c r="J74" s="233">
        <f t="shared" si="2"/>
        <v>0</v>
      </c>
    </row>
    <row r="75" spans="1:10" ht="20.7" customHeight="1">
      <c r="B75" s="64" t="s">
        <v>262</v>
      </c>
      <c r="C75" s="242">
        <v>5061011625485</v>
      </c>
      <c r="D75" s="120" t="s">
        <v>273</v>
      </c>
      <c r="E75" s="202" t="s">
        <v>17</v>
      </c>
      <c r="F75" s="227">
        <v>15.83</v>
      </c>
      <c r="G75" s="228">
        <v>38</v>
      </c>
      <c r="H75" s="202">
        <v>6</v>
      </c>
      <c r="I75" s="223"/>
      <c r="J75" s="229">
        <f t="shared" si="2"/>
        <v>0</v>
      </c>
    </row>
    <row r="76" spans="1:10" ht="20.7" customHeight="1">
      <c r="A76" s="194"/>
      <c r="B76" s="195"/>
      <c r="C76" s="245"/>
      <c r="D76" s="196"/>
      <c r="E76" s="246"/>
      <c r="F76" s="247"/>
      <c r="G76" s="248"/>
      <c r="H76" s="236"/>
      <c r="I76" s="236"/>
      <c r="J76" s="249"/>
    </row>
    <row r="77" spans="1:10" ht="94.95" customHeight="1">
      <c r="A77" s="141"/>
      <c r="B77" s="64" t="s">
        <v>263</v>
      </c>
      <c r="C77" s="242">
        <v>5061011629852</v>
      </c>
      <c r="D77" s="120" t="s">
        <v>274</v>
      </c>
      <c r="E77" s="202" t="s">
        <v>13</v>
      </c>
      <c r="F77" s="227">
        <v>15</v>
      </c>
      <c r="G77" s="228">
        <v>36</v>
      </c>
      <c r="H77" s="202">
        <v>6</v>
      </c>
      <c r="I77" s="223"/>
      <c r="J77" s="229">
        <f>I77*F77</f>
        <v>0</v>
      </c>
    </row>
    <row r="78" spans="1:10" ht="16.2" customHeight="1">
      <c r="B78" s="64" t="s">
        <v>264</v>
      </c>
      <c r="C78" s="242">
        <v>5061011629890</v>
      </c>
      <c r="D78" s="120" t="s">
        <v>274</v>
      </c>
      <c r="E78" s="202" t="s">
        <v>17</v>
      </c>
      <c r="F78" s="227">
        <v>16.66</v>
      </c>
      <c r="G78" s="228">
        <v>40</v>
      </c>
      <c r="H78" s="202">
        <v>6</v>
      </c>
      <c r="I78" s="223"/>
      <c r="J78" s="229">
        <f>I78*F78</f>
        <v>0</v>
      </c>
    </row>
    <row r="79" spans="1:10" ht="56.55" customHeight="1">
      <c r="A79" s="135"/>
      <c r="B79" s="250" t="s">
        <v>467</v>
      </c>
      <c r="C79" s="250"/>
      <c r="D79" s="201"/>
      <c r="E79" s="199"/>
      <c r="F79" s="235"/>
      <c r="G79" s="200"/>
      <c r="H79" s="236"/>
      <c r="I79" s="236"/>
      <c r="J79" s="236"/>
    </row>
    <row r="80" spans="1:10" ht="73.5" customHeight="1">
      <c r="A80" s="141"/>
      <c r="B80" s="251" t="s">
        <v>465</v>
      </c>
      <c r="C80" s="252" t="str">
        <f ca="1">IFERROR(__xludf.DUMMYFUNCTION("""COMPUTED_VALUE"""),"5061011623409")</f>
        <v>5061011623409</v>
      </c>
      <c r="D80" s="226" t="s">
        <v>468</v>
      </c>
      <c r="E80" s="202" t="s">
        <v>13</v>
      </c>
      <c r="F80" s="227">
        <v>14.16</v>
      </c>
      <c r="G80" s="228">
        <v>34</v>
      </c>
      <c r="H80" s="202">
        <v>6</v>
      </c>
      <c r="I80" s="223"/>
      <c r="J80" s="233">
        <f>I80*F80</f>
        <v>0</v>
      </c>
    </row>
    <row r="81" spans="1:15" ht="19.5" customHeight="1">
      <c r="A81" s="141"/>
      <c r="B81" s="251" t="s">
        <v>466</v>
      </c>
      <c r="C81" s="252" t="str">
        <f ca="1">IFERROR(__xludf.DUMMYFUNCTION("""COMPUTED_VALUE"""),"5061011623478")</f>
        <v>5061011623478</v>
      </c>
      <c r="D81" s="226" t="s">
        <v>468</v>
      </c>
      <c r="E81" s="202" t="s">
        <v>17</v>
      </c>
      <c r="F81" s="227">
        <v>15.83</v>
      </c>
      <c r="G81" s="228">
        <v>38</v>
      </c>
      <c r="H81" s="202">
        <v>6</v>
      </c>
      <c r="I81" s="223"/>
      <c r="J81" s="233">
        <f>I81*F81</f>
        <v>0</v>
      </c>
    </row>
    <row r="82" spans="1:15" ht="45" customHeight="1">
      <c r="A82" s="135"/>
      <c r="B82" s="250" t="s">
        <v>140</v>
      </c>
      <c r="C82" s="221"/>
      <c r="D82" s="201"/>
      <c r="E82" s="199"/>
      <c r="F82" s="235"/>
      <c r="G82" s="200"/>
      <c r="H82" s="236"/>
      <c r="I82" s="236"/>
      <c r="J82" s="236"/>
      <c r="M82" s="33"/>
      <c r="N82" s="34"/>
      <c r="O82" s="34"/>
    </row>
    <row r="83" spans="1:15" ht="107.55" customHeight="1">
      <c r="B83" s="177" t="s">
        <v>294</v>
      </c>
      <c r="C83" s="225">
        <v>5061011626493</v>
      </c>
      <c r="D83" s="230" t="s">
        <v>94</v>
      </c>
      <c r="E83" s="224" t="s">
        <v>143</v>
      </c>
      <c r="F83" s="234">
        <v>17.5</v>
      </c>
      <c r="G83" s="232">
        <v>42</v>
      </c>
      <c r="H83" s="202">
        <v>6</v>
      </c>
      <c r="I83" s="223"/>
      <c r="J83" s="233">
        <f>I83*F83</f>
        <v>0</v>
      </c>
      <c r="M83" s="33"/>
      <c r="N83" s="34"/>
      <c r="O83" s="34"/>
    </row>
    <row r="84" spans="1:15" ht="99.6" customHeight="1">
      <c r="B84" s="253" t="s">
        <v>141</v>
      </c>
      <c r="C84" s="270" t="str">
        <f ca="1">IFERROR(__xludf.DUMMYFUNCTION("""COMPUTED_VALUE"""),"5061011624901")</f>
        <v>5061011624901</v>
      </c>
      <c r="D84" s="230" t="s">
        <v>142</v>
      </c>
      <c r="E84" s="202" t="s">
        <v>143</v>
      </c>
      <c r="F84" s="227">
        <v>17.5</v>
      </c>
      <c r="G84" s="228">
        <v>42</v>
      </c>
      <c r="H84" s="202">
        <v>6</v>
      </c>
      <c r="I84" s="223"/>
      <c r="J84" s="229">
        <f>I84*F84</f>
        <v>0</v>
      </c>
      <c r="M84" s="33"/>
      <c r="N84" s="34"/>
      <c r="O84" s="34"/>
    </row>
    <row r="85" spans="1:15" ht="107.55" customHeight="1">
      <c r="B85" s="253" t="s">
        <v>144</v>
      </c>
      <c r="C85" s="176" t="str">
        <f ca="1">IFERROR(__xludf.DUMMYFUNCTION("""COMPUTED_VALUE"""),"5061011624918")</f>
        <v>5061011624918</v>
      </c>
      <c r="D85" s="230" t="s">
        <v>95</v>
      </c>
      <c r="E85" s="202" t="s">
        <v>143</v>
      </c>
      <c r="F85" s="227">
        <v>17.5</v>
      </c>
      <c r="G85" s="228">
        <v>42</v>
      </c>
      <c r="H85" s="202">
        <v>6</v>
      </c>
      <c r="I85" s="223"/>
      <c r="J85" s="229">
        <f>I85*F85</f>
        <v>0</v>
      </c>
      <c r="M85" s="33"/>
      <c r="N85" s="34"/>
      <c r="O85" s="34"/>
    </row>
    <row r="86" spans="1:15" ht="21" customHeight="1">
      <c r="A86" s="135"/>
      <c r="B86" s="250" t="s">
        <v>100</v>
      </c>
      <c r="C86" s="221"/>
      <c r="D86" s="201"/>
      <c r="E86" s="199"/>
      <c r="F86" s="235"/>
      <c r="G86" s="200"/>
      <c r="H86" s="236"/>
      <c r="I86" s="236"/>
      <c r="J86" s="236"/>
      <c r="N86" s="33"/>
    </row>
    <row r="87" spans="1:15" ht="79.5" customHeight="1">
      <c r="B87" s="238" t="s">
        <v>102</v>
      </c>
      <c r="C87" s="238" t="s">
        <v>103</v>
      </c>
      <c r="D87" s="226" t="s">
        <v>104</v>
      </c>
      <c r="E87" s="224" t="s">
        <v>101</v>
      </c>
      <c r="F87" s="234">
        <v>24.17</v>
      </c>
      <c r="G87" s="232">
        <v>58</v>
      </c>
      <c r="H87" s="202">
        <v>6</v>
      </c>
      <c r="I87" s="223"/>
      <c r="J87" s="233">
        <f>I87*F87</f>
        <v>0</v>
      </c>
    </row>
    <row r="88" spans="1:15" ht="69" customHeight="1">
      <c r="B88" s="253" t="s">
        <v>105</v>
      </c>
      <c r="C88" s="254" t="s">
        <v>106</v>
      </c>
      <c r="D88" s="230" t="s">
        <v>107</v>
      </c>
      <c r="E88" s="224" t="s">
        <v>101</v>
      </c>
      <c r="F88" s="234">
        <v>24.17</v>
      </c>
      <c r="G88" s="232">
        <v>58</v>
      </c>
      <c r="H88" s="202">
        <v>6</v>
      </c>
      <c r="I88" s="223"/>
      <c r="J88" s="233">
        <f>I88*F88</f>
        <v>0</v>
      </c>
    </row>
    <row r="89" spans="1:15" ht="24" customHeight="1">
      <c r="A89" s="135"/>
      <c r="B89" s="201" t="s">
        <v>108</v>
      </c>
      <c r="C89" s="221"/>
      <c r="D89" s="201"/>
      <c r="E89" s="199"/>
      <c r="F89" s="235"/>
      <c r="G89" s="200"/>
      <c r="H89" s="236"/>
      <c r="I89" s="236"/>
      <c r="J89" s="236"/>
      <c r="M89" s="33"/>
      <c r="N89" s="34"/>
      <c r="O89" s="34"/>
    </row>
    <row r="90" spans="1:15" ht="69" customHeight="1">
      <c r="B90" s="253" t="s">
        <v>109</v>
      </c>
      <c r="C90" s="225" t="s">
        <v>110</v>
      </c>
      <c r="D90" s="230" t="s">
        <v>104</v>
      </c>
      <c r="E90" s="202" t="s">
        <v>111</v>
      </c>
      <c r="F90" s="227">
        <v>29.16</v>
      </c>
      <c r="G90" s="228">
        <v>70</v>
      </c>
      <c r="H90" s="202">
        <v>6</v>
      </c>
      <c r="I90" s="223"/>
      <c r="J90" s="233">
        <f t="shared" ref="J90:J105" si="3">I90*F90</f>
        <v>0</v>
      </c>
      <c r="M90" s="33"/>
      <c r="N90" s="34"/>
      <c r="O90" s="34"/>
    </row>
    <row r="91" spans="1:15" ht="22.5" customHeight="1">
      <c r="B91" s="253" t="s">
        <v>112</v>
      </c>
      <c r="C91" s="225" t="s">
        <v>113</v>
      </c>
      <c r="D91" s="230" t="s">
        <v>104</v>
      </c>
      <c r="E91" s="202" t="s">
        <v>114</v>
      </c>
      <c r="F91" s="227">
        <v>35.409999999999997</v>
      </c>
      <c r="G91" s="228">
        <v>85</v>
      </c>
      <c r="H91" s="202">
        <v>6</v>
      </c>
      <c r="I91" s="223"/>
      <c r="J91" s="233">
        <f t="shared" si="3"/>
        <v>0</v>
      </c>
      <c r="M91" s="271"/>
      <c r="N91" s="272"/>
      <c r="O91" s="272"/>
    </row>
    <row r="92" spans="1:15" ht="64.5" customHeight="1">
      <c r="A92" s="141"/>
      <c r="B92" s="255" t="s">
        <v>115</v>
      </c>
      <c r="C92" s="231">
        <v>5060668837078</v>
      </c>
      <c r="D92" s="226" t="s">
        <v>116</v>
      </c>
      <c r="E92" s="224" t="s">
        <v>111</v>
      </c>
      <c r="F92" s="227">
        <v>29.16</v>
      </c>
      <c r="G92" s="228">
        <v>70</v>
      </c>
      <c r="H92" s="202">
        <v>6</v>
      </c>
      <c r="I92" s="223"/>
      <c r="J92" s="233">
        <f t="shared" si="3"/>
        <v>0</v>
      </c>
      <c r="L92" s="1"/>
      <c r="N92" s="34"/>
      <c r="O92" s="34"/>
    </row>
    <row r="93" spans="1:15" ht="19.95" customHeight="1">
      <c r="A93" s="141"/>
      <c r="B93" s="255" t="s">
        <v>117</v>
      </c>
      <c r="C93" s="231">
        <v>5060668837092</v>
      </c>
      <c r="D93" s="226" t="s">
        <v>116</v>
      </c>
      <c r="E93" s="224" t="s">
        <v>114</v>
      </c>
      <c r="F93" s="227">
        <v>35.409999999999997</v>
      </c>
      <c r="G93" s="228">
        <v>85</v>
      </c>
      <c r="H93" s="202">
        <v>6</v>
      </c>
      <c r="I93" s="223"/>
      <c r="J93" s="233">
        <f t="shared" si="3"/>
        <v>0</v>
      </c>
      <c r="L93" s="1"/>
      <c r="M93" s="1"/>
      <c r="N93" s="34"/>
      <c r="O93" s="34"/>
    </row>
    <row r="94" spans="1:15" ht="82.2" customHeight="1">
      <c r="B94" s="255" t="s">
        <v>118</v>
      </c>
      <c r="C94" s="231" t="s">
        <v>119</v>
      </c>
      <c r="D94" s="226" t="s">
        <v>120</v>
      </c>
      <c r="E94" s="224" t="s">
        <v>111</v>
      </c>
      <c r="F94" s="227">
        <v>29.16</v>
      </c>
      <c r="G94" s="228">
        <v>70</v>
      </c>
      <c r="H94" s="202">
        <v>6</v>
      </c>
      <c r="I94" s="223"/>
      <c r="J94" s="233">
        <f t="shared" si="3"/>
        <v>0</v>
      </c>
      <c r="N94" s="34"/>
      <c r="O94" s="34"/>
    </row>
    <row r="95" spans="1:15" ht="22.5" customHeight="1">
      <c r="B95" s="255" t="s">
        <v>121</v>
      </c>
      <c r="C95" s="231" t="s">
        <v>122</v>
      </c>
      <c r="D95" s="226" t="s">
        <v>120</v>
      </c>
      <c r="E95" s="224" t="s">
        <v>114</v>
      </c>
      <c r="F95" s="227">
        <v>35.409999999999997</v>
      </c>
      <c r="G95" s="228">
        <v>85</v>
      </c>
      <c r="H95" s="202">
        <v>6</v>
      </c>
      <c r="I95" s="223"/>
      <c r="J95" s="233">
        <f t="shared" si="3"/>
        <v>0</v>
      </c>
      <c r="N95" s="34"/>
      <c r="O95" s="34"/>
    </row>
    <row r="96" spans="1:15" ht="63.45" customHeight="1">
      <c r="B96" s="239" t="s">
        <v>359</v>
      </c>
      <c r="C96" s="256" t="str">
        <f ca="1">IFERROR(__xludf.DUMMYFUNCTION("""COMPUTED_VALUE"""),"5061011626318")</f>
        <v>5061011626318</v>
      </c>
      <c r="D96" s="257" t="s">
        <v>348</v>
      </c>
      <c r="E96" s="224" t="s">
        <v>111</v>
      </c>
      <c r="F96" s="227">
        <v>29.16</v>
      </c>
      <c r="G96" s="228">
        <v>70</v>
      </c>
      <c r="H96" s="202">
        <v>6</v>
      </c>
      <c r="I96" s="223"/>
      <c r="J96" s="233">
        <f t="shared" si="3"/>
        <v>0</v>
      </c>
      <c r="N96" s="34"/>
      <c r="O96" s="34"/>
    </row>
    <row r="97" spans="1:15" ht="22.5" customHeight="1">
      <c r="B97" s="239" t="s">
        <v>360</v>
      </c>
      <c r="C97" s="256" t="str">
        <f ca="1">IFERROR(__xludf.DUMMYFUNCTION("""COMPUTED_VALUE"""),"5061011626363")</f>
        <v>5061011626363</v>
      </c>
      <c r="D97" s="257" t="s">
        <v>348</v>
      </c>
      <c r="E97" s="224" t="s">
        <v>114</v>
      </c>
      <c r="F97" s="227">
        <v>35.409999999999997</v>
      </c>
      <c r="G97" s="228">
        <v>85</v>
      </c>
      <c r="H97" s="202">
        <v>6</v>
      </c>
      <c r="I97" s="223"/>
      <c r="J97" s="233">
        <f t="shared" si="3"/>
        <v>0</v>
      </c>
      <c r="N97" s="34"/>
      <c r="O97" s="34"/>
    </row>
    <row r="98" spans="1:15" ht="72" customHeight="1">
      <c r="B98" s="239" t="s">
        <v>357</v>
      </c>
      <c r="C98" s="256" t="str">
        <f ca="1">IFERROR(__xludf.DUMMYFUNCTION("""COMPUTED_VALUE"""),"5061011626301")</f>
        <v>5061011626301</v>
      </c>
      <c r="D98" s="257" t="s">
        <v>349</v>
      </c>
      <c r="E98" s="224" t="s">
        <v>111</v>
      </c>
      <c r="F98" s="227">
        <v>29.16</v>
      </c>
      <c r="G98" s="228">
        <v>70</v>
      </c>
      <c r="H98" s="202">
        <v>6</v>
      </c>
      <c r="I98" s="223"/>
      <c r="J98" s="233">
        <f t="shared" si="3"/>
        <v>0</v>
      </c>
      <c r="N98" s="34"/>
      <c r="O98" s="34"/>
    </row>
    <row r="99" spans="1:15" ht="25.2" customHeight="1">
      <c r="B99" s="239" t="s">
        <v>358</v>
      </c>
      <c r="C99" s="256" t="str">
        <f ca="1">IFERROR(__xludf.DUMMYFUNCTION("""COMPUTED_VALUE"""),"5061011626356")</f>
        <v>5061011626356</v>
      </c>
      <c r="D99" s="257" t="s">
        <v>349</v>
      </c>
      <c r="E99" s="224" t="s">
        <v>114</v>
      </c>
      <c r="F99" s="227">
        <v>35.409999999999997</v>
      </c>
      <c r="G99" s="228">
        <v>85</v>
      </c>
      <c r="H99" s="202">
        <v>6</v>
      </c>
      <c r="I99" s="223"/>
      <c r="J99" s="233">
        <f t="shared" si="3"/>
        <v>0</v>
      </c>
      <c r="N99" s="33"/>
      <c r="O99" s="34"/>
    </row>
    <row r="100" spans="1:15" ht="64.2" customHeight="1">
      <c r="B100" s="239" t="s">
        <v>353</v>
      </c>
      <c r="C100" s="256" t="str">
        <f ca="1">IFERROR(__xludf.DUMMYFUNCTION("""COMPUTED_VALUE"""),"5061011626295")</f>
        <v>5061011626295</v>
      </c>
      <c r="D100" s="257" t="s">
        <v>313</v>
      </c>
      <c r="E100" s="202" t="s">
        <v>111</v>
      </c>
      <c r="F100" s="227">
        <v>29.16</v>
      </c>
      <c r="G100" s="228">
        <v>70</v>
      </c>
      <c r="H100" s="202">
        <v>6</v>
      </c>
      <c r="I100" s="223"/>
      <c r="J100" s="229">
        <f t="shared" si="3"/>
        <v>0</v>
      </c>
      <c r="L100" s="1"/>
      <c r="M100" s="1"/>
      <c r="N100" s="33"/>
    </row>
    <row r="101" spans="1:15" ht="21" customHeight="1">
      <c r="B101" s="239" t="s">
        <v>354</v>
      </c>
      <c r="C101" s="256" t="str">
        <f ca="1">IFERROR(__xludf.DUMMYFUNCTION("""COMPUTED_VALUE"""),"5061011626349")</f>
        <v>5061011626349</v>
      </c>
      <c r="D101" s="257" t="s">
        <v>313</v>
      </c>
      <c r="E101" s="202" t="s">
        <v>114</v>
      </c>
      <c r="F101" s="227">
        <v>35.409999999999997</v>
      </c>
      <c r="G101" s="228">
        <v>85</v>
      </c>
      <c r="H101" s="202">
        <v>6</v>
      </c>
      <c r="I101" s="223"/>
      <c r="J101" s="229">
        <f t="shared" si="3"/>
        <v>0</v>
      </c>
      <c r="N101" s="33"/>
    </row>
    <row r="102" spans="1:15" ht="64.2" customHeight="1">
      <c r="B102" s="239" t="s">
        <v>355</v>
      </c>
      <c r="C102" s="256" t="str">
        <f ca="1">IFERROR(__xludf.DUMMYFUNCTION("""COMPUTED_VALUE"""),"5061011626288")</f>
        <v>5061011626288</v>
      </c>
      <c r="D102" s="257" t="s">
        <v>322</v>
      </c>
      <c r="E102" s="202" t="s">
        <v>111</v>
      </c>
      <c r="F102" s="227">
        <v>29.16</v>
      </c>
      <c r="G102" s="228">
        <v>70</v>
      </c>
      <c r="H102" s="202">
        <v>6</v>
      </c>
      <c r="I102" s="223"/>
      <c r="J102" s="229">
        <f t="shared" si="3"/>
        <v>0</v>
      </c>
      <c r="L102" s="1"/>
      <c r="M102" s="1"/>
      <c r="N102" s="33"/>
    </row>
    <row r="103" spans="1:15" ht="21" customHeight="1">
      <c r="B103" s="239" t="s">
        <v>356</v>
      </c>
      <c r="C103" s="256" t="str">
        <f ca="1">IFERROR(__xludf.DUMMYFUNCTION("""COMPUTED_VALUE"""),"5061011626332")</f>
        <v>5061011626332</v>
      </c>
      <c r="D103" s="257" t="s">
        <v>322</v>
      </c>
      <c r="E103" s="202" t="s">
        <v>114</v>
      </c>
      <c r="F103" s="227">
        <v>35.409999999999997</v>
      </c>
      <c r="G103" s="228">
        <v>85</v>
      </c>
      <c r="H103" s="202">
        <v>6</v>
      </c>
      <c r="I103" s="223"/>
      <c r="J103" s="229">
        <f t="shared" si="3"/>
        <v>0</v>
      </c>
      <c r="N103" s="33"/>
    </row>
    <row r="104" spans="1:15" ht="64.2" customHeight="1">
      <c r="B104" s="239" t="s">
        <v>351</v>
      </c>
      <c r="C104" s="256" t="str">
        <f ca="1">IFERROR(__xludf.DUMMYFUNCTION("""COMPUTED_VALUE"""),"5061011626325")</f>
        <v>5061011626325</v>
      </c>
      <c r="D104" s="257" t="s">
        <v>350</v>
      </c>
      <c r="E104" s="202" t="s">
        <v>111</v>
      </c>
      <c r="F104" s="227">
        <v>29.16</v>
      </c>
      <c r="G104" s="228">
        <v>70</v>
      </c>
      <c r="H104" s="202">
        <v>6</v>
      </c>
      <c r="I104" s="223"/>
      <c r="J104" s="229">
        <f t="shared" si="3"/>
        <v>0</v>
      </c>
      <c r="L104" s="1"/>
      <c r="M104" s="1"/>
      <c r="N104" s="33"/>
    </row>
    <row r="105" spans="1:15" ht="21" customHeight="1">
      <c r="B105" s="239" t="s">
        <v>352</v>
      </c>
      <c r="C105" s="256" t="str">
        <f ca="1">IFERROR(__xludf.DUMMYFUNCTION("""COMPUTED_VALUE"""),"5061011626370")</f>
        <v>5061011626370</v>
      </c>
      <c r="D105" s="257" t="s">
        <v>350</v>
      </c>
      <c r="E105" s="202" t="s">
        <v>114</v>
      </c>
      <c r="F105" s="227">
        <v>35.409999999999997</v>
      </c>
      <c r="G105" s="228">
        <v>85</v>
      </c>
      <c r="H105" s="202">
        <v>6</v>
      </c>
      <c r="I105" s="223"/>
      <c r="J105" s="229">
        <f t="shared" si="3"/>
        <v>0</v>
      </c>
      <c r="N105" s="33"/>
    </row>
    <row r="106" spans="1:15" s="1" customFormat="1" ht="28.5" customHeight="1">
      <c r="A106" s="164"/>
      <c r="B106" s="201" t="s">
        <v>123</v>
      </c>
      <c r="C106" s="258"/>
      <c r="D106" s="201"/>
      <c r="E106" s="201"/>
      <c r="F106" s="235"/>
      <c r="G106" s="236"/>
      <c r="H106" s="236"/>
      <c r="I106" s="236"/>
      <c r="J106" s="236"/>
    </row>
    <row r="107" spans="1:15" ht="96" customHeight="1">
      <c r="B107" s="253" t="s">
        <v>471</v>
      </c>
      <c r="C107" s="225">
        <v>5061011623812</v>
      </c>
      <c r="D107" s="230" t="s">
        <v>107</v>
      </c>
      <c r="E107" s="224" t="s">
        <v>124</v>
      </c>
      <c r="F107" s="234">
        <v>17.91</v>
      </c>
      <c r="G107" s="232">
        <v>43</v>
      </c>
      <c r="H107" s="202">
        <v>6</v>
      </c>
      <c r="I107" s="223"/>
      <c r="J107" s="233">
        <f t="shared" ref="J107:J126" si="4">I107*F107</f>
        <v>0</v>
      </c>
      <c r="N107" s="33"/>
      <c r="O107" s="34"/>
    </row>
    <row r="108" spans="1:15" ht="19.95" customHeight="1">
      <c r="B108" s="253" t="s">
        <v>472</v>
      </c>
      <c r="C108" s="225">
        <v>5060668837528</v>
      </c>
      <c r="D108" s="230" t="s">
        <v>107</v>
      </c>
      <c r="E108" s="224" t="s">
        <v>125</v>
      </c>
      <c r="F108" s="234">
        <v>17.91</v>
      </c>
      <c r="G108" s="232">
        <v>43</v>
      </c>
      <c r="H108" s="202">
        <v>6</v>
      </c>
      <c r="I108" s="223"/>
      <c r="J108" s="233">
        <f t="shared" si="4"/>
        <v>0</v>
      </c>
      <c r="N108" s="33"/>
      <c r="O108" s="34"/>
    </row>
    <row r="109" spans="1:15" ht="19.95" customHeight="1">
      <c r="B109" s="237" t="s">
        <v>473</v>
      </c>
      <c r="C109" s="238" t="str">
        <f ca="1">IFERROR(__xludf.DUMMYFUNCTION("""COMPUTED_VALUE"""),"5061011624284")</f>
        <v>5061011624284</v>
      </c>
      <c r="D109" s="230" t="s">
        <v>107</v>
      </c>
      <c r="E109" s="224" t="s">
        <v>126</v>
      </c>
      <c r="F109" s="234">
        <v>17.91</v>
      </c>
      <c r="G109" s="232">
        <v>43</v>
      </c>
      <c r="H109" s="202">
        <v>6</v>
      </c>
      <c r="I109" s="223"/>
      <c r="J109" s="233">
        <f t="shared" si="4"/>
        <v>0</v>
      </c>
      <c r="N109" s="33"/>
      <c r="O109" s="34"/>
    </row>
    <row r="110" spans="1:15" ht="91.95" customHeight="1">
      <c r="B110" s="255" t="s">
        <v>474</v>
      </c>
      <c r="C110" s="225">
        <v>5061011623829</v>
      </c>
      <c r="D110" s="230" t="s">
        <v>116</v>
      </c>
      <c r="E110" s="224" t="s">
        <v>124</v>
      </c>
      <c r="F110" s="234">
        <v>17.91</v>
      </c>
      <c r="G110" s="232">
        <v>43</v>
      </c>
      <c r="H110" s="202">
        <v>6</v>
      </c>
      <c r="I110" s="223"/>
      <c r="J110" s="233">
        <f t="shared" si="4"/>
        <v>0</v>
      </c>
      <c r="M110" s="33"/>
      <c r="N110" s="34"/>
      <c r="O110" s="34"/>
    </row>
    <row r="111" spans="1:15" ht="18.45" customHeight="1">
      <c r="B111" s="255" t="s">
        <v>475</v>
      </c>
      <c r="C111" s="231">
        <v>5060668837511</v>
      </c>
      <c r="D111" s="226" t="s">
        <v>116</v>
      </c>
      <c r="E111" s="224" t="s">
        <v>125</v>
      </c>
      <c r="F111" s="234">
        <v>17.91</v>
      </c>
      <c r="G111" s="232">
        <v>43</v>
      </c>
      <c r="H111" s="202">
        <v>6</v>
      </c>
      <c r="I111" s="223"/>
      <c r="J111" s="233">
        <f t="shared" si="4"/>
        <v>0</v>
      </c>
      <c r="N111" s="33"/>
      <c r="O111" s="34"/>
    </row>
    <row r="112" spans="1:15" ht="18.45" customHeight="1">
      <c r="B112" s="237" t="str">
        <f ca="1">IFERROR(__xludf.DUMMYFUNCTION("""COMPUTED_VALUE"""),"PONCHA-CAB-XL-NAVY")</f>
        <v>PONCHA-CAB-XL-NAVY</v>
      </c>
      <c r="C112" s="238" t="str">
        <f ca="1">IFERROR(__xludf.DUMMYFUNCTION("""COMPUTED_VALUE"""),"5061011624277")</f>
        <v>5061011624277</v>
      </c>
      <c r="D112" s="226" t="s">
        <v>116</v>
      </c>
      <c r="E112" s="224" t="s">
        <v>126</v>
      </c>
      <c r="F112" s="234">
        <v>17.91</v>
      </c>
      <c r="G112" s="232">
        <v>43</v>
      </c>
      <c r="H112" s="202">
        <v>6</v>
      </c>
      <c r="I112" s="223"/>
      <c r="J112" s="233">
        <f t="shared" si="4"/>
        <v>0</v>
      </c>
      <c r="N112" s="33"/>
      <c r="O112" s="34"/>
    </row>
    <row r="113" spans="1:15" ht="93.45" customHeight="1">
      <c r="B113" s="224" t="s">
        <v>476</v>
      </c>
      <c r="C113" s="231" t="s">
        <v>127</v>
      </c>
      <c r="D113" s="226" t="s">
        <v>128</v>
      </c>
      <c r="E113" s="224" t="s">
        <v>124</v>
      </c>
      <c r="F113" s="234">
        <v>17.91</v>
      </c>
      <c r="G113" s="232">
        <v>43</v>
      </c>
      <c r="H113" s="202">
        <v>6</v>
      </c>
      <c r="I113" s="223"/>
      <c r="J113" s="233">
        <f t="shared" si="4"/>
        <v>0</v>
      </c>
    </row>
    <row r="114" spans="1:15" ht="21" customHeight="1">
      <c r="B114" s="224" t="s">
        <v>477</v>
      </c>
      <c r="C114" s="231" t="s">
        <v>129</v>
      </c>
      <c r="D114" s="226" t="s">
        <v>128</v>
      </c>
      <c r="E114" s="224" t="s">
        <v>125</v>
      </c>
      <c r="F114" s="234">
        <v>17.91</v>
      </c>
      <c r="G114" s="232">
        <v>43</v>
      </c>
      <c r="H114" s="202">
        <v>6</v>
      </c>
      <c r="I114" s="223"/>
      <c r="J114" s="233">
        <f t="shared" si="4"/>
        <v>0</v>
      </c>
    </row>
    <row r="115" spans="1:15" ht="96" customHeight="1">
      <c r="B115" s="255" t="s">
        <v>478</v>
      </c>
      <c r="C115" s="231">
        <v>5061011624413</v>
      </c>
      <c r="D115" s="226" t="s">
        <v>130</v>
      </c>
      <c r="E115" s="224" t="s">
        <v>124</v>
      </c>
      <c r="F115" s="234">
        <v>20</v>
      </c>
      <c r="G115" s="232">
        <v>48</v>
      </c>
      <c r="H115" s="202">
        <v>6</v>
      </c>
      <c r="I115" s="223"/>
      <c r="J115" s="233">
        <f t="shared" si="4"/>
        <v>0</v>
      </c>
      <c r="M115" s="33"/>
      <c r="N115" s="34"/>
      <c r="O115" s="34"/>
    </row>
    <row r="116" spans="1:15" ht="19.95" customHeight="1">
      <c r="B116" s="255" t="s">
        <v>479</v>
      </c>
      <c r="C116" s="231">
        <v>5060668837535</v>
      </c>
      <c r="D116" s="226" t="s">
        <v>130</v>
      </c>
      <c r="E116" s="224" t="s">
        <v>125</v>
      </c>
      <c r="F116" s="234">
        <v>20</v>
      </c>
      <c r="G116" s="232">
        <v>48</v>
      </c>
      <c r="H116" s="202">
        <v>6</v>
      </c>
      <c r="I116" s="223"/>
      <c r="J116" s="233">
        <f t="shared" si="4"/>
        <v>0</v>
      </c>
      <c r="M116" s="33"/>
      <c r="N116" s="34"/>
      <c r="O116" s="34"/>
    </row>
    <row r="117" spans="1:15" ht="93.45" customHeight="1">
      <c r="B117" s="239" t="s">
        <v>361</v>
      </c>
      <c r="C117" s="259" t="str">
        <f ca="1">IFERROR(__xludf.DUMMYFUNCTION("""COMPUTED_VALUE"""),"5061011625373")</f>
        <v>5061011625373</v>
      </c>
      <c r="D117" s="257" t="s">
        <v>310</v>
      </c>
      <c r="E117" s="224" t="s">
        <v>124</v>
      </c>
      <c r="F117" s="234">
        <v>20</v>
      </c>
      <c r="G117" s="232">
        <v>48</v>
      </c>
      <c r="H117" s="202">
        <v>6</v>
      </c>
      <c r="I117" s="223"/>
      <c r="J117" s="233">
        <f t="shared" si="4"/>
        <v>0</v>
      </c>
      <c r="M117" s="33"/>
      <c r="N117" s="34"/>
      <c r="O117" s="34"/>
    </row>
    <row r="118" spans="1:15" ht="18" customHeight="1">
      <c r="B118" s="239" t="s">
        <v>362</v>
      </c>
      <c r="C118" s="259" t="str">
        <f ca="1">IFERROR(__xludf.DUMMYFUNCTION("""COMPUTED_VALUE"""),"5061011625403")</f>
        <v>5061011625403</v>
      </c>
      <c r="D118" s="257" t="s">
        <v>310</v>
      </c>
      <c r="E118" s="224" t="s">
        <v>125</v>
      </c>
      <c r="F118" s="234">
        <v>20</v>
      </c>
      <c r="G118" s="232">
        <v>48</v>
      </c>
      <c r="H118" s="202">
        <v>6</v>
      </c>
      <c r="I118" s="223"/>
      <c r="J118" s="233">
        <f t="shared" si="4"/>
        <v>0</v>
      </c>
      <c r="M118" s="33"/>
      <c r="N118" s="34"/>
      <c r="O118" s="34"/>
    </row>
    <row r="119" spans="1:15" ht="90" customHeight="1">
      <c r="B119" s="239" t="s">
        <v>363</v>
      </c>
      <c r="C119" s="259" t="str">
        <f ca="1">IFERROR(__xludf.DUMMYFUNCTION("""COMPUTED_VALUE"""),"5061011625366")</f>
        <v>5061011625366</v>
      </c>
      <c r="D119" s="257" t="s">
        <v>311</v>
      </c>
      <c r="E119" s="224" t="s">
        <v>124</v>
      </c>
      <c r="F119" s="234">
        <v>20</v>
      </c>
      <c r="G119" s="232">
        <v>48</v>
      </c>
      <c r="H119" s="202">
        <v>6</v>
      </c>
      <c r="I119" s="223"/>
      <c r="J119" s="233">
        <f t="shared" si="4"/>
        <v>0</v>
      </c>
      <c r="M119" s="33"/>
      <c r="N119" s="34"/>
      <c r="O119" s="34"/>
    </row>
    <row r="120" spans="1:15" ht="19.2" customHeight="1">
      <c r="B120" s="239" t="s">
        <v>364</v>
      </c>
      <c r="C120" s="259" t="str">
        <f ca="1">IFERROR(__xludf.DUMMYFUNCTION("""COMPUTED_VALUE"""),"5061011625397")</f>
        <v>5061011625397</v>
      </c>
      <c r="D120" s="257" t="s">
        <v>311</v>
      </c>
      <c r="E120" s="224" t="s">
        <v>125</v>
      </c>
      <c r="F120" s="234">
        <v>20</v>
      </c>
      <c r="G120" s="232">
        <v>48</v>
      </c>
      <c r="H120" s="202">
        <v>6</v>
      </c>
      <c r="I120" s="223"/>
      <c r="J120" s="233">
        <f t="shared" si="4"/>
        <v>0</v>
      </c>
      <c r="M120" s="33"/>
      <c r="N120" s="34"/>
      <c r="O120" s="34"/>
    </row>
    <row r="121" spans="1:15" ht="85.95" customHeight="1">
      <c r="B121" s="255" t="s">
        <v>131</v>
      </c>
      <c r="C121" s="231" t="s">
        <v>132</v>
      </c>
      <c r="D121" s="226" t="s">
        <v>94</v>
      </c>
      <c r="E121" s="224" t="s">
        <v>124</v>
      </c>
      <c r="F121" s="234">
        <v>20</v>
      </c>
      <c r="G121" s="232">
        <v>48</v>
      </c>
      <c r="H121" s="202">
        <v>6</v>
      </c>
      <c r="I121" s="223"/>
      <c r="J121" s="233">
        <f t="shared" si="4"/>
        <v>0</v>
      </c>
      <c r="L121" s="6"/>
      <c r="M121" s="6"/>
      <c r="N121" s="6"/>
    </row>
    <row r="122" spans="1:15" ht="44.55" customHeight="1">
      <c r="B122" s="253" t="s">
        <v>133</v>
      </c>
      <c r="C122" s="225" t="s">
        <v>134</v>
      </c>
      <c r="D122" s="226" t="s">
        <v>94</v>
      </c>
      <c r="E122" s="224" t="s">
        <v>125</v>
      </c>
      <c r="F122" s="234">
        <v>20</v>
      </c>
      <c r="G122" s="232">
        <v>48</v>
      </c>
      <c r="H122" s="202">
        <v>6</v>
      </c>
      <c r="I122" s="223"/>
      <c r="J122" s="233">
        <f t="shared" si="4"/>
        <v>0</v>
      </c>
    </row>
    <row r="123" spans="1:15" s="6" customFormat="1" ht="91.95" customHeight="1">
      <c r="A123" s="134"/>
      <c r="B123" s="255" t="s">
        <v>135</v>
      </c>
      <c r="C123" s="231" t="s">
        <v>136</v>
      </c>
      <c r="D123" s="226" t="s">
        <v>137</v>
      </c>
      <c r="E123" s="224" t="s">
        <v>124</v>
      </c>
      <c r="F123" s="234">
        <v>20</v>
      </c>
      <c r="G123" s="232">
        <v>48</v>
      </c>
      <c r="H123" s="202">
        <v>6</v>
      </c>
      <c r="I123" s="223"/>
      <c r="J123" s="233">
        <f t="shared" si="4"/>
        <v>0</v>
      </c>
    </row>
    <row r="124" spans="1:15" s="6" customFormat="1" ht="27.45" customHeight="1">
      <c r="A124" s="134"/>
      <c r="B124" s="253" t="s">
        <v>138</v>
      </c>
      <c r="C124" s="225" t="s">
        <v>139</v>
      </c>
      <c r="D124" s="226" t="s">
        <v>137</v>
      </c>
      <c r="E124" s="224" t="s">
        <v>125</v>
      </c>
      <c r="F124" s="234">
        <v>20</v>
      </c>
      <c r="G124" s="232">
        <v>48</v>
      </c>
      <c r="H124" s="202">
        <v>6</v>
      </c>
      <c r="I124" s="223"/>
      <c r="J124" s="233">
        <f t="shared" si="4"/>
        <v>0</v>
      </c>
    </row>
    <row r="125" spans="1:15" s="6" customFormat="1" ht="94.95" customHeight="1">
      <c r="A125" s="134"/>
      <c r="B125" s="239" t="s">
        <v>365</v>
      </c>
      <c r="C125" s="259" t="str">
        <f ca="1">IFERROR(__xludf.DUMMYFUNCTION("""COMPUTED_VALUE"""),"5061011625359")</f>
        <v>5061011625359</v>
      </c>
      <c r="D125" s="257" t="s">
        <v>314</v>
      </c>
      <c r="E125" s="224" t="s">
        <v>124</v>
      </c>
      <c r="F125" s="234">
        <v>20</v>
      </c>
      <c r="G125" s="232">
        <v>48</v>
      </c>
      <c r="H125" s="202">
        <v>6</v>
      </c>
      <c r="I125" s="223"/>
      <c r="J125" s="233">
        <f t="shared" si="4"/>
        <v>0</v>
      </c>
    </row>
    <row r="126" spans="1:15" ht="45" customHeight="1">
      <c r="B126" s="239" t="s">
        <v>366</v>
      </c>
      <c r="C126" s="256" t="str">
        <f ca="1">IFERROR(__xludf.DUMMYFUNCTION("""COMPUTED_VALUE"""),"5061011625380")</f>
        <v>5061011625380</v>
      </c>
      <c r="D126" s="257" t="s">
        <v>314</v>
      </c>
      <c r="E126" s="224" t="s">
        <v>125</v>
      </c>
      <c r="F126" s="234">
        <v>20</v>
      </c>
      <c r="G126" s="232">
        <v>48</v>
      </c>
      <c r="H126" s="202">
        <v>6</v>
      </c>
      <c r="I126" s="223"/>
      <c r="J126" s="233">
        <f t="shared" si="4"/>
        <v>0</v>
      </c>
      <c r="M126" s="33"/>
      <c r="N126" s="34"/>
      <c r="O126" s="34"/>
    </row>
    <row r="127" spans="1:15" ht="35.700000000000003" customHeight="1">
      <c r="A127" s="135"/>
      <c r="B127" s="201" t="s">
        <v>145</v>
      </c>
      <c r="C127" s="221"/>
      <c r="D127" s="201"/>
      <c r="E127" s="199"/>
      <c r="F127" s="235"/>
      <c r="G127" s="200"/>
      <c r="H127" s="200"/>
      <c r="I127" s="200"/>
      <c r="J127" s="236"/>
      <c r="M127" s="33"/>
      <c r="N127" s="34"/>
      <c r="O127" s="34"/>
    </row>
    <row r="128" spans="1:15" ht="63" customHeight="1">
      <c r="B128" s="255" t="s">
        <v>146</v>
      </c>
      <c r="C128" s="231">
        <v>5060668837351</v>
      </c>
      <c r="D128" s="230" t="s">
        <v>107</v>
      </c>
      <c r="E128" s="224" t="s">
        <v>147</v>
      </c>
      <c r="F128" s="234">
        <v>7.5</v>
      </c>
      <c r="G128" s="232">
        <v>18</v>
      </c>
      <c r="H128" s="202">
        <v>6</v>
      </c>
      <c r="I128" s="223"/>
      <c r="J128" s="233">
        <f t="shared" ref="J128:J138" si="5">I128*F128</f>
        <v>0</v>
      </c>
      <c r="M128" s="33"/>
      <c r="N128" s="34"/>
      <c r="O128" s="34"/>
    </row>
    <row r="129" spans="1:15" ht="70.95" customHeight="1">
      <c r="B129" s="255" t="s">
        <v>148</v>
      </c>
      <c r="C129" s="231">
        <v>5060668837368</v>
      </c>
      <c r="D129" s="230" t="s">
        <v>116</v>
      </c>
      <c r="E129" s="224" t="s">
        <v>147</v>
      </c>
      <c r="F129" s="234">
        <v>7.5</v>
      </c>
      <c r="G129" s="232">
        <v>18</v>
      </c>
      <c r="H129" s="202">
        <v>6</v>
      </c>
      <c r="I129" s="223"/>
      <c r="J129" s="233">
        <f t="shared" si="5"/>
        <v>0</v>
      </c>
      <c r="K129" s="167"/>
      <c r="L129" s="167"/>
      <c r="M129" s="167"/>
      <c r="N129" s="167"/>
      <c r="O129" s="167"/>
    </row>
    <row r="130" spans="1:15" ht="63" customHeight="1">
      <c r="B130" s="255" t="s">
        <v>149</v>
      </c>
      <c r="C130" s="231">
        <v>5060668837375</v>
      </c>
      <c r="D130" s="230" t="s">
        <v>130</v>
      </c>
      <c r="E130" s="224" t="s">
        <v>147</v>
      </c>
      <c r="F130" s="234">
        <v>7.5</v>
      </c>
      <c r="G130" s="232">
        <v>18</v>
      </c>
      <c r="H130" s="202">
        <v>6</v>
      </c>
      <c r="I130" s="223"/>
      <c r="J130" s="233">
        <f t="shared" si="5"/>
        <v>0</v>
      </c>
      <c r="K130" s="167"/>
      <c r="L130" s="167"/>
      <c r="M130" s="167"/>
      <c r="N130" s="167"/>
      <c r="O130" s="167"/>
    </row>
    <row r="131" spans="1:15" ht="63" customHeight="1">
      <c r="B131" s="238" t="str">
        <f ca="1">IFERROR(__xludf.DUMMYFUNCTION("""COMPUTED_VALUE"""),"BAGF-SUM-MD-CSTCANDY")</f>
        <v>BAGF-SUM-MD-CSTCANDY</v>
      </c>
      <c r="C131" s="237" t="str">
        <f ca="1">IFERROR(__xludf.DUMMYFUNCTION("""COMPUTED_VALUE"""),"5061011624215")</f>
        <v>5061011624215</v>
      </c>
      <c r="D131" s="226" t="s">
        <v>94</v>
      </c>
      <c r="E131" s="224" t="s">
        <v>147</v>
      </c>
      <c r="F131" s="234">
        <v>7.5</v>
      </c>
      <c r="G131" s="232">
        <v>19</v>
      </c>
      <c r="H131" s="202">
        <v>6</v>
      </c>
      <c r="I131" s="223"/>
      <c r="J131" s="233">
        <f t="shared" si="5"/>
        <v>0</v>
      </c>
      <c r="K131" s="167"/>
      <c r="L131" s="167"/>
      <c r="M131" s="167"/>
      <c r="N131" s="167"/>
      <c r="O131" s="167"/>
    </row>
    <row r="132" spans="1:15" ht="78.599999999999994" customHeight="1">
      <c r="B132" s="239" t="s">
        <v>315</v>
      </c>
      <c r="C132" s="260" t="str">
        <f ca="1">IFERROR(__xludf.DUMMYFUNCTION("""COMPUTED_VALUE"""),"5061011626141")</f>
        <v>5061011626141</v>
      </c>
      <c r="D132" s="179" t="s">
        <v>310</v>
      </c>
      <c r="E132" s="202" t="s">
        <v>147</v>
      </c>
      <c r="F132" s="227">
        <v>7.5</v>
      </c>
      <c r="G132" s="228">
        <v>18</v>
      </c>
      <c r="H132" s="202">
        <v>6</v>
      </c>
      <c r="I132" s="223"/>
      <c r="J132" s="229">
        <f t="shared" si="5"/>
        <v>0</v>
      </c>
      <c r="K132" s="167"/>
      <c r="L132" s="167"/>
      <c r="M132" s="167"/>
      <c r="N132" s="167"/>
      <c r="O132" s="167"/>
    </row>
    <row r="133" spans="1:15" ht="66" customHeight="1">
      <c r="B133" s="239" t="s">
        <v>316</v>
      </c>
      <c r="C133" s="260" t="str">
        <f ca="1">IFERROR(__xludf.DUMMYFUNCTION("""COMPUTED_VALUE"""),"5061011626110")</f>
        <v>5061011626110</v>
      </c>
      <c r="D133" s="179" t="s">
        <v>96</v>
      </c>
      <c r="E133" s="202" t="s">
        <v>147</v>
      </c>
      <c r="F133" s="227">
        <v>7.5</v>
      </c>
      <c r="G133" s="228">
        <v>18</v>
      </c>
      <c r="H133" s="202">
        <v>6</v>
      </c>
      <c r="I133" s="223"/>
      <c r="J133" s="229">
        <f t="shared" si="5"/>
        <v>0</v>
      </c>
      <c r="M133" s="33"/>
      <c r="N133" s="34"/>
      <c r="O133" s="34"/>
    </row>
    <row r="134" spans="1:15" ht="66" customHeight="1">
      <c r="B134" s="239" t="s">
        <v>317</v>
      </c>
      <c r="C134" s="260" t="str">
        <f ca="1">IFERROR(__xludf.DUMMYFUNCTION("""COMPUTED_VALUE"""),"5061011626127")</f>
        <v>5061011626127</v>
      </c>
      <c r="D134" s="179" t="s">
        <v>95</v>
      </c>
      <c r="E134" s="202" t="s">
        <v>147</v>
      </c>
      <c r="F134" s="227">
        <v>7.5</v>
      </c>
      <c r="G134" s="228">
        <v>18</v>
      </c>
      <c r="H134" s="202">
        <v>6</v>
      </c>
      <c r="I134" s="223"/>
      <c r="J134" s="229">
        <f t="shared" si="5"/>
        <v>0</v>
      </c>
      <c r="M134" s="33"/>
      <c r="N134" s="34"/>
      <c r="O134" s="34"/>
    </row>
    <row r="135" spans="1:15" ht="66" customHeight="1">
      <c r="B135" s="239" t="s">
        <v>318</v>
      </c>
      <c r="C135" s="260" t="str">
        <f ca="1">IFERROR(__xludf.DUMMYFUNCTION("""COMPUTED_VALUE"""),"5061011626134")</f>
        <v>5061011626134</v>
      </c>
      <c r="D135" s="179" t="s">
        <v>311</v>
      </c>
      <c r="E135" s="202" t="s">
        <v>147</v>
      </c>
      <c r="F135" s="234">
        <v>7.5</v>
      </c>
      <c r="G135" s="232">
        <v>18</v>
      </c>
      <c r="H135" s="202">
        <v>6</v>
      </c>
      <c r="I135" s="223"/>
      <c r="J135" s="233">
        <f t="shared" si="5"/>
        <v>0</v>
      </c>
      <c r="M135" s="33"/>
      <c r="N135" s="34"/>
      <c r="O135" s="34"/>
    </row>
    <row r="136" spans="1:15" ht="73.95" customHeight="1">
      <c r="B136" s="239" t="s">
        <v>319</v>
      </c>
      <c r="C136" s="260" t="str">
        <f ca="1">IFERROR(__xludf.DUMMYFUNCTION("""COMPUTED_VALUE"""),"5061011626172")</f>
        <v>5061011626172</v>
      </c>
      <c r="D136" s="179" t="s">
        <v>312</v>
      </c>
      <c r="E136" s="202" t="s">
        <v>147</v>
      </c>
      <c r="F136" s="234">
        <v>7.5</v>
      </c>
      <c r="G136" s="232">
        <v>18</v>
      </c>
      <c r="H136" s="202">
        <v>6</v>
      </c>
      <c r="I136" s="223"/>
      <c r="J136" s="233">
        <f t="shared" si="5"/>
        <v>0</v>
      </c>
      <c r="M136" s="33"/>
      <c r="N136" s="34"/>
      <c r="O136" s="34"/>
    </row>
    <row r="137" spans="1:15" ht="73.95" customHeight="1">
      <c r="B137" s="239" t="s">
        <v>320</v>
      </c>
      <c r="C137" s="260" t="str">
        <f ca="1">IFERROR(__xludf.DUMMYFUNCTION("""COMPUTED_VALUE"""),"5061011626165")</f>
        <v>5061011626165</v>
      </c>
      <c r="D137" s="179" t="s">
        <v>313</v>
      </c>
      <c r="E137" s="202" t="s">
        <v>147</v>
      </c>
      <c r="F137" s="234">
        <v>7.5</v>
      </c>
      <c r="G137" s="232">
        <v>18</v>
      </c>
      <c r="H137" s="202">
        <v>6</v>
      </c>
      <c r="I137" s="223"/>
      <c r="J137" s="233">
        <f t="shared" si="5"/>
        <v>0</v>
      </c>
      <c r="M137" s="33"/>
      <c r="N137" s="34"/>
      <c r="O137" s="34"/>
    </row>
    <row r="138" spans="1:15" ht="73.95" customHeight="1">
      <c r="B138" s="239" t="s">
        <v>321</v>
      </c>
      <c r="C138" s="260" t="str">
        <f ca="1">IFERROR(__xludf.DUMMYFUNCTION("""COMPUTED_VALUE"""),"5061011626158")</f>
        <v>5061011626158</v>
      </c>
      <c r="D138" s="179" t="s">
        <v>314</v>
      </c>
      <c r="E138" s="202" t="s">
        <v>147</v>
      </c>
      <c r="F138" s="234">
        <v>7.5</v>
      </c>
      <c r="G138" s="232">
        <v>18</v>
      </c>
      <c r="H138" s="202">
        <v>6</v>
      </c>
      <c r="I138" s="223"/>
      <c r="J138" s="233">
        <f t="shared" si="5"/>
        <v>0</v>
      </c>
      <c r="M138" s="33"/>
      <c r="N138" s="34"/>
      <c r="O138" s="34"/>
    </row>
    <row r="139" spans="1:15" ht="25.2" customHeight="1">
      <c r="A139" s="135"/>
      <c r="B139" s="261" t="s">
        <v>150</v>
      </c>
      <c r="C139" s="261"/>
      <c r="D139" s="181"/>
      <c r="E139" s="199"/>
      <c r="F139" s="235"/>
      <c r="G139" s="200"/>
      <c r="H139" s="200"/>
      <c r="I139" s="200"/>
      <c r="J139" s="236"/>
    </row>
    <row r="140" spans="1:15" ht="97.95" customHeight="1">
      <c r="B140" s="237" t="s">
        <v>151</v>
      </c>
      <c r="C140" s="262" t="str">
        <f ca="1">IFERROR(__xludf.DUMMYFUNCTION("""COMPUTED_VALUE"""),"5061011623843")</f>
        <v>5061011623843</v>
      </c>
      <c r="D140" s="182" t="s">
        <v>152</v>
      </c>
      <c r="E140" s="202" t="s">
        <v>153</v>
      </c>
      <c r="F140" s="234">
        <v>28.33</v>
      </c>
      <c r="G140" s="232">
        <v>68</v>
      </c>
      <c r="H140" s="202">
        <v>6</v>
      </c>
      <c r="I140" s="223"/>
      <c r="J140" s="233">
        <f>I140*F140</f>
        <v>0</v>
      </c>
    </row>
    <row r="141" spans="1:15" ht="97.95" customHeight="1">
      <c r="B141" s="239" t="s">
        <v>324</v>
      </c>
      <c r="C141" s="262" t="str">
        <f ca="1">IFERROR(__xludf.DUMMYFUNCTION("""COMPUTED_VALUE"""),"5061011626479")</f>
        <v>5061011626479</v>
      </c>
      <c r="D141" s="179" t="s">
        <v>322</v>
      </c>
      <c r="E141" s="202" t="s">
        <v>153</v>
      </c>
      <c r="F141" s="234">
        <v>28.33</v>
      </c>
      <c r="G141" s="232">
        <v>68</v>
      </c>
      <c r="H141" s="202">
        <v>6</v>
      </c>
      <c r="I141" s="223"/>
      <c r="J141" s="233">
        <f>I141*F141</f>
        <v>0</v>
      </c>
    </row>
    <row r="142" spans="1:15" ht="97.95" customHeight="1">
      <c r="B142" s="239" t="s">
        <v>325</v>
      </c>
      <c r="C142" s="262" t="str">
        <f ca="1">IFERROR(__xludf.DUMMYFUNCTION("""COMPUTED_VALUE"""),"5061011626486")</f>
        <v>5061011626486</v>
      </c>
      <c r="D142" s="179" t="s">
        <v>323</v>
      </c>
      <c r="E142" s="202" t="s">
        <v>153</v>
      </c>
      <c r="F142" s="234">
        <v>28.33</v>
      </c>
      <c r="G142" s="232">
        <v>68</v>
      </c>
      <c r="H142" s="202">
        <v>6</v>
      </c>
      <c r="I142" s="223"/>
      <c r="J142" s="233">
        <f>I142*F142</f>
        <v>0</v>
      </c>
    </row>
    <row r="143" spans="1:15" ht="40.200000000000003" customHeight="1">
      <c r="A143" s="135"/>
      <c r="B143" s="261" t="s">
        <v>154</v>
      </c>
      <c r="C143" s="261"/>
      <c r="D143" s="181"/>
      <c r="E143" s="199"/>
      <c r="F143" s="235"/>
      <c r="G143" s="200"/>
      <c r="H143" s="200"/>
      <c r="I143" s="200"/>
      <c r="J143" s="236"/>
    </row>
    <row r="144" spans="1:15" ht="81" customHeight="1">
      <c r="B144" s="202" t="s">
        <v>156</v>
      </c>
      <c r="C144" s="263">
        <v>5061011622051</v>
      </c>
      <c r="D144" s="183" t="s">
        <v>152</v>
      </c>
      <c r="E144" s="202" t="s">
        <v>155</v>
      </c>
      <c r="F144" s="234">
        <v>22.91</v>
      </c>
      <c r="G144" s="232">
        <v>55</v>
      </c>
      <c r="H144" s="202">
        <v>6</v>
      </c>
      <c r="I144" s="223"/>
      <c r="J144" s="233">
        <f>I144*F144</f>
        <v>0</v>
      </c>
    </row>
    <row r="145" spans="1:10" ht="97.95" customHeight="1">
      <c r="B145" s="177" t="s">
        <v>326</v>
      </c>
      <c r="C145" s="184" t="str">
        <f ca="1">IFERROR(__xludf.DUMMYFUNCTION("""COMPUTED_VALUE"""),"5061011626387")</f>
        <v>5061011626387</v>
      </c>
      <c r="D145" s="179" t="s">
        <v>287</v>
      </c>
      <c r="E145" s="202" t="s">
        <v>155</v>
      </c>
      <c r="F145" s="234">
        <v>22.91</v>
      </c>
      <c r="G145" s="232">
        <v>55</v>
      </c>
      <c r="H145" s="202">
        <v>6</v>
      </c>
      <c r="I145" s="223"/>
      <c r="J145" s="233">
        <f>I145*F145</f>
        <v>0</v>
      </c>
    </row>
    <row r="146" spans="1:10" ht="97.95" customHeight="1">
      <c r="B146" s="177" t="s">
        <v>327</v>
      </c>
      <c r="C146" s="184" t="str">
        <f ca="1">IFERROR(__xludf.DUMMYFUNCTION("""COMPUTED_VALUE"""),"5061011626394")</f>
        <v>5061011626394</v>
      </c>
      <c r="D146" s="179" t="s">
        <v>284</v>
      </c>
      <c r="E146" s="202" t="s">
        <v>155</v>
      </c>
      <c r="F146" s="234">
        <v>22.91</v>
      </c>
      <c r="G146" s="232">
        <v>55</v>
      </c>
      <c r="H146" s="202">
        <v>6</v>
      </c>
      <c r="I146" s="223"/>
      <c r="J146" s="233">
        <f>I146*F146</f>
        <v>0</v>
      </c>
    </row>
    <row r="147" spans="1:10" ht="41.55" customHeight="1">
      <c r="A147" s="135"/>
      <c r="B147" s="201" t="s">
        <v>157</v>
      </c>
      <c r="C147" s="199"/>
      <c r="D147" s="201"/>
      <c r="E147" s="199"/>
      <c r="F147" s="235"/>
      <c r="G147" s="200"/>
      <c r="H147" s="200"/>
      <c r="I147" s="200"/>
      <c r="J147" s="236"/>
    </row>
    <row r="148" spans="1:10" ht="124.2" customHeight="1">
      <c r="B148" s="202" t="s">
        <v>158</v>
      </c>
      <c r="C148" s="184" t="str">
        <f ca="1">IFERROR(__xludf.DUMMYFUNCTION("""COMPUTED_VALUE"""),"5061011623867")</f>
        <v>5061011623867</v>
      </c>
      <c r="D148" s="179" t="s">
        <v>142</v>
      </c>
      <c r="E148" s="202" t="s">
        <v>159</v>
      </c>
      <c r="F148" s="234">
        <v>9.16</v>
      </c>
      <c r="G148" s="232">
        <v>22</v>
      </c>
      <c r="H148" s="202">
        <v>6</v>
      </c>
      <c r="I148" s="223"/>
      <c r="J148" s="233">
        <f t="shared" ref="J148:J156" si="6">I148*F148</f>
        <v>0</v>
      </c>
    </row>
    <row r="149" spans="1:10" ht="124.2" customHeight="1">
      <c r="B149" s="177" t="s">
        <v>329</v>
      </c>
      <c r="C149" s="184" t="str">
        <f ca="1">IFERROR(__xludf.DUMMYFUNCTION("""COMPUTED_VALUE"""),"5061011626431")</f>
        <v>5061011626431</v>
      </c>
      <c r="D149" s="179" t="s">
        <v>95</v>
      </c>
      <c r="E149" s="202" t="s">
        <v>159</v>
      </c>
      <c r="F149" s="234">
        <v>9.16</v>
      </c>
      <c r="G149" s="232">
        <v>22</v>
      </c>
      <c r="H149" s="202">
        <v>6</v>
      </c>
      <c r="I149" s="223"/>
      <c r="J149" s="233">
        <f t="shared" si="6"/>
        <v>0</v>
      </c>
    </row>
    <row r="150" spans="1:10" ht="124.2" customHeight="1">
      <c r="B150" s="177" t="s">
        <v>330</v>
      </c>
      <c r="C150" s="184" t="str">
        <f ca="1">IFERROR(__xludf.DUMMYFUNCTION("""COMPUTED_VALUE"""),"5061011626448")</f>
        <v>5061011626448</v>
      </c>
      <c r="D150" s="179" t="s">
        <v>310</v>
      </c>
      <c r="E150" s="202" t="s">
        <v>159</v>
      </c>
      <c r="F150" s="234">
        <v>9.16</v>
      </c>
      <c r="G150" s="232">
        <v>22</v>
      </c>
      <c r="H150" s="202">
        <v>6</v>
      </c>
      <c r="I150" s="223"/>
      <c r="J150" s="233">
        <f t="shared" si="6"/>
        <v>0</v>
      </c>
    </row>
    <row r="151" spans="1:10" ht="124.2" customHeight="1">
      <c r="B151" s="177" t="s">
        <v>480</v>
      </c>
      <c r="C151" s="264">
        <v>5061011626455</v>
      </c>
      <c r="D151" s="179" t="s">
        <v>328</v>
      </c>
      <c r="E151" s="202" t="s">
        <v>159</v>
      </c>
      <c r="F151" s="234">
        <v>9.16</v>
      </c>
      <c r="G151" s="232">
        <v>22</v>
      </c>
      <c r="H151" s="202">
        <v>6</v>
      </c>
      <c r="I151" s="223"/>
      <c r="J151" s="233">
        <f t="shared" si="6"/>
        <v>0</v>
      </c>
    </row>
    <row r="152" spans="1:10" ht="124.2" customHeight="1">
      <c r="B152" s="177" t="s">
        <v>331</v>
      </c>
      <c r="C152" s="184" t="str">
        <f ca="1">IFERROR(__xludf.DUMMYFUNCTION("""COMPUTED_VALUE"""),"5061011626462")</f>
        <v>5061011626462</v>
      </c>
      <c r="D152" s="179" t="s">
        <v>312</v>
      </c>
      <c r="E152" s="202" t="s">
        <v>159</v>
      </c>
      <c r="F152" s="234">
        <v>9.16</v>
      </c>
      <c r="G152" s="232">
        <v>22</v>
      </c>
      <c r="H152" s="202">
        <v>6</v>
      </c>
      <c r="I152" s="223"/>
      <c r="J152" s="233">
        <f t="shared" si="6"/>
        <v>0</v>
      </c>
    </row>
    <row r="153" spans="1:10" ht="162.6" customHeight="1">
      <c r="B153" s="202" t="s">
        <v>160</v>
      </c>
      <c r="C153" s="184" t="str">
        <f ca="1">IFERROR(__xludf.DUMMYFUNCTION("""COMPUTED_VALUE"""),"5061011623850")</f>
        <v>5061011623850</v>
      </c>
      <c r="D153" s="179" t="s">
        <v>142</v>
      </c>
      <c r="E153" s="202" t="s">
        <v>161</v>
      </c>
      <c r="F153" s="234">
        <v>20.41</v>
      </c>
      <c r="G153" s="232">
        <v>49</v>
      </c>
      <c r="H153" s="202">
        <v>6</v>
      </c>
      <c r="I153" s="223"/>
      <c r="J153" s="233">
        <f t="shared" si="6"/>
        <v>0</v>
      </c>
    </row>
    <row r="154" spans="1:10" ht="162.6" customHeight="1">
      <c r="B154" s="177" t="s">
        <v>332</v>
      </c>
      <c r="C154" s="184" t="str">
        <f ca="1">IFERROR(__xludf.DUMMYFUNCTION("""COMPUTED_VALUE"""),"5061011626400")</f>
        <v>5061011626400</v>
      </c>
      <c r="D154" s="179" t="s">
        <v>95</v>
      </c>
      <c r="E154" s="202" t="s">
        <v>161</v>
      </c>
      <c r="F154" s="234">
        <v>20.41</v>
      </c>
      <c r="G154" s="232">
        <v>49</v>
      </c>
      <c r="H154" s="202">
        <v>6</v>
      </c>
      <c r="I154" s="223"/>
      <c r="J154" s="233">
        <f t="shared" si="6"/>
        <v>0</v>
      </c>
    </row>
    <row r="155" spans="1:10" ht="162.6" customHeight="1">
      <c r="B155" s="177" t="s">
        <v>333</v>
      </c>
      <c r="C155" s="184" t="str">
        <f ca="1">IFERROR(__xludf.DUMMYFUNCTION("""COMPUTED_VALUE"""),"5061011626424")</f>
        <v>5061011626424</v>
      </c>
      <c r="D155" s="179" t="s">
        <v>314</v>
      </c>
      <c r="E155" s="202" t="s">
        <v>161</v>
      </c>
      <c r="F155" s="234">
        <v>20.41</v>
      </c>
      <c r="G155" s="232">
        <v>49</v>
      </c>
      <c r="H155" s="202">
        <v>6</v>
      </c>
      <c r="I155" s="223"/>
      <c r="J155" s="233">
        <f t="shared" si="6"/>
        <v>0</v>
      </c>
    </row>
    <row r="156" spans="1:10" ht="162.6" customHeight="1">
      <c r="B156" s="177" t="s">
        <v>334</v>
      </c>
      <c r="C156" s="184" t="str">
        <f ca="1">IFERROR(__xludf.DUMMYFUNCTION("""COMPUTED_VALUE"""),"5061011626417")</f>
        <v>5061011626417</v>
      </c>
      <c r="D156" s="179" t="s">
        <v>310</v>
      </c>
      <c r="E156" s="202" t="s">
        <v>161</v>
      </c>
      <c r="F156" s="234">
        <v>20.41</v>
      </c>
      <c r="G156" s="232">
        <v>49</v>
      </c>
      <c r="H156" s="202">
        <v>6</v>
      </c>
      <c r="I156" s="223"/>
      <c r="J156" s="233">
        <f t="shared" si="6"/>
        <v>0</v>
      </c>
    </row>
    <row r="157" spans="1:10" ht="41.55" customHeight="1">
      <c r="A157" s="135"/>
      <c r="B157" s="201" t="s">
        <v>335</v>
      </c>
      <c r="C157" s="199"/>
      <c r="D157" s="201"/>
      <c r="E157" s="199"/>
      <c r="F157" s="235"/>
      <c r="G157" s="200"/>
      <c r="H157" s="200"/>
      <c r="I157" s="200"/>
      <c r="J157" s="236"/>
    </row>
    <row r="158" spans="1:10" ht="124.2" customHeight="1">
      <c r="B158" s="185" t="s">
        <v>340</v>
      </c>
      <c r="C158" s="186" t="str">
        <f ca="1">IFERROR(__xludf.DUMMYFUNCTION("""COMPUTED_VALUE"""),"5061011628800")</f>
        <v>5061011628800</v>
      </c>
      <c r="D158" s="179" t="s">
        <v>336</v>
      </c>
      <c r="E158" s="202" t="s">
        <v>159</v>
      </c>
      <c r="F158" s="234">
        <v>5.83</v>
      </c>
      <c r="G158" s="232">
        <v>14</v>
      </c>
      <c r="H158" s="202">
        <v>6</v>
      </c>
      <c r="I158" s="223"/>
      <c r="J158" s="233">
        <f>I158*F158</f>
        <v>0</v>
      </c>
    </row>
    <row r="159" spans="1:10" ht="124.2" customHeight="1">
      <c r="B159" s="185" t="s">
        <v>341</v>
      </c>
      <c r="C159" s="186" t="str">
        <f ca="1">IFERROR(__xludf.DUMMYFUNCTION("""COMPUTED_VALUE"""),"5061011628787")</f>
        <v>5061011628787</v>
      </c>
      <c r="D159" s="179" t="s">
        <v>337</v>
      </c>
      <c r="E159" s="202" t="s">
        <v>159</v>
      </c>
      <c r="F159" s="234">
        <v>5.83</v>
      </c>
      <c r="G159" s="232">
        <v>14</v>
      </c>
      <c r="H159" s="202">
        <v>6</v>
      </c>
      <c r="I159" s="223"/>
      <c r="J159" s="233">
        <f>I159*F159</f>
        <v>0</v>
      </c>
    </row>
    <row r="160" spans="1:10" ht="124.2" customHeight="1">
      <c r="B160" s="185" t="s">
        <v>342</v>
      </c>
      <c r="C160" s="186" t="str">
        <f ca="1">IFERROR(__xludf.DUMMYFUNCTION("""COMPUTED_VALUE"""),"5061011628794")</f>
        <v>5061011628794</v>
      </c>
      <c r="D160" s="179" t="s">
        <v>338</v>
      </c>
      <c r="E160" s="202" t="s">
        <v>159</v>
      </c>
      <c r="F160" s="234">
        <v>5.83</v>
      </c>
      <c r="G160" s="232">
        <v>14</v>
      </c>
      <c r="H160" s="202">
        <v>6</v>
      </c>
      <c r="I160" s="223"/>
      <c r="J160" s="233">
        <f>I160*F160</f>
        <v>0</v>
      </c>
    </row>
    <row r="161" spans="1:10" ht="124.2" customHeight="1">
      <c r="B161" s="185" t="s">
        <v>343</v>
      </c>
      <c r="C161" s="186" t="str">
        <f ca="1">IFERROR(__xludf.DUMMYFUNCTION("""COMPUTED_VALUE"""),"5061011628770")</f>
        <v>5061011628770</v>
      </c>
      <c r="D161" s="179" t="s">
        <v>339</v>
      </c>
      <c r="E161" s="202" t="s">
        <v>159</v>
      </c>
      <c r="F161" s="234">
        <v>5.83</v>
      </c>
      <c r="G161" s="232">
        <v>14</v>
      </c>
      <c r="H161" s="202">
        <v>6</v>
      </c>
      <c r="I161" s="223"/>
      <c r="J161" s="233">
        <f>I161*F161</f>
        <v>0</v>
      </c>
    </row>
    <row r="162" spans="1:10" s="133" customFormat="1" ht="28.5" customHeight="1">
      <c r="A162" s="165" t="s">
        <v>7</v>
      </c>
      <c r="B162" s="201"/>
      <c r="C162" s="258"/>
      <c r="D162" s="201"/>
      <c r="E162" s="201"/>
      <c r="F162" s="222"/>
      <c r="G162" s="201"/>
      <c r="H162" s="201"/>
      <c r="I162" s="200"/>
      <c r="J162" s="236">
        <f>SUM(J3:J161)</f>
        <v>0</v>
      </c>
    </row>
    <row r="163" spans="1:10">
      <c r="B163" s="75"/>
      <c r="D163" s="166"/>
      <c r="E163" s="64"/>
      <c r="F163" s="121"/>
      <c r="G163" s="64"/>
    </row>
    <row r="164" spans="1:10">
      <c r="B164" s="75"/>
      <c r="D164" s="166"/>
      <c r="E164" s="64"/>
      <c r="F164" s="121"/>
      <c r="G164" s="64"/>
    </row>
    <row r="165" spans="1:10">
      <c r="B165" s="75"/>
      <c r="D165" s="166"/>
      <c r="E165" s="64"/>
      <c r="F165" s="121"/>
      <c r="G165" s="64"/>
    </row>
    <row r="166" spans="1:10">
      <c r="B166" s="75"/>
      <c r="D166" s="166"/>
      <c r="E166" s="64"/>
      <c r="F166" s="121"/>
      <c r="G166" s="64"/>
    </row>
    <row r="167" spans="1:10">
      <c r="B167" s="75"/>
      <c r="D167" s="166"/>
      <c r="E167" s="64"/>
      <c r="F167" s="121"/>
      <c r="G167" s="64"/>
    </row>
    <row r="168" spans="1:10">
      <c r="B168" s="75"/>
      <c r="D168" s="166"/>
      <c r="E168" s="64"/>
      <c r="F168" s="121"/>
      <c r="G168" s="64"/>
    </row>
    <row r="169" spans="1:10">
      <c r="B169" s="75"/>
      <c r="D169" s="166"/>
      <c r="E169" s="64"/>
      <c r="F169" s="121"/>
      <c r="G169" s="64"/>
    </row>
    <row r="170" spans="1:10">
      <c r="B170" s="75"/>
      <c r="D170" s="166"/>
      <c r="E170" s="64"/>
      <c r="F170" s="121"/>
      <c r="G170" s="64"/>
    </row>
    <row r="171" spans="1:10">
      <c r="B171" s="75"/>
      <c r="D171" s="166"/>
      <c r="E171" s="64"/>
      <c r="F171" s="121"/>
      <c r="G171" s="64"/>
    </row>
    <row r="172" spans="1:10">
      <c r="B172" s="75"/>
      <c r="D172" s="166"/>
      <c r="E172" s="64"/>
      <c r="F172" s="121"/>
      <c r="G172" s="64"/>
    </row>
    <row r="173" spans="1:10">
      <c r="B173" s="75"/>
      <c r="D173" s="166"/>
      <c r="E173" s="64"/>
      <c r="F173" s="121"/>
      <c r="G173" s="64"/>
    </row>
    <row r="174" spans="1:10">
      <c r="B174" s="75"/>
      <c r="D174" s="166"/>
      <c r="E174" s="64"/>
      <c r="F174" s="121"/>
      <c r="G174" s="64"/>
    </row>
    <row r="175" spans="1:10">
      <c r="B175" s="75"/>
      <c r="D175" s="166"/>
      <c r="E175" s="64"/>
      <c r="F175" s="121"/>
      <c r="G175" s="64"/>
    </row>
    <row r="176" spans="1:10">
      <c r="B176" s="75"/>
      <c r="D176" s="166"/>
      <c r="E176" s="64"/>
      <c r="F176" s="121"/>
      <c r="G176" s="64"/>
    </row>
    <row r="177" spans="2:7">
      <c r="B177" s="75"/>
      <c r="D177" s="166"/>
      <c r="E177" s="64"/>
      <c r="F177" s="121"/>
      <c r="G177" s="64"/>
    </row>
    <row r="178" spans="2:7">
      <c r="B178" s="75"/>
      <c r="D178" s="166"/>
      <c r="E178" s="64"/>
      <c r="F178" s="121"/>
      <c r="G178" s="64"/>
    </row>
    <row r="179" spans="2:7">
      <c r="B179" s="75"/>
      <c r="D179" s="166"/>
      <c r="E179" s="64"/>
      <c r="F179" s="121"/>
      <c r="G179" s="64"/>
    </row>
    <row r="180" spans="2:7">
      <c r="B180" s="75"/>
      <c r="D180" s="166"/>
      <c r="E180" s="64"/>
      <c r="F180" s="121"/>
      <c r="G180" s="64"/>
    </row>
    <row r="181" spans="2:7">
      <c r="B181" s="75"/>
      <c r="D181" s="166"/>
      <c r="E181" s="64"/>
      <c r="F181" s="121"/>
      <c r="G181" s="64"/>
    </row>
    <row r="182" spans="2:7">
      <c r="B182" s="75"/>
      <c r="D182" s="166"/>
      <c r="E182" s="64"/>
      <c r="F182" s="121"/>
      <c r="G182" s="64"/>
    </row>
    <row r="183" spans="2:7">
      <c r="B183" s="75"/>
      <c r="D183" s="166"/>
      <c r="E183" s="64"/>
      <c r="F183" s="121"/>
      <c r="G183" s="64"/>
    </row>
    <row r="184" spans="2:7">
      <c r="B184" s="75"/>
      <c r="D184" s="166"/>
      <c r="E184" s="64"/>
      <c r="F184" s="121"/>
      <c r="G184" s="64"/>
    </row>
    <row r="185" spans="2:7">
      <c r="B185" s="75"/>
      <c r="D185" s="166"/>
      <c r="E185" s="64"/>
      <c r="F185" s="121"/>
      <c r="G185" s="64"/>
    </row>
    <row r="186" spans="2:7">
      <c r="B186" s="75"/>
      <c r="D186" s="166"/>
      <c r="E186" s="64"/>
      <c r="F186" s="121"/>
      <c r="G186" s="64"/>
    </row>
    <row r="187" spans="2:7">
      <c r="B187" s="75"/>
      <c r="D187" s="166"/>
      <c r="E187" s="64"/>
      <c r="F187" s="121"/>
      <c r="G187" s="64"/>
    </row>
    <row r="188" spans="2:7">
      <c r="B188" s="75"/>
      <c r="D188" s="166"/>
      <c r="E188" s="64"/>
      <c r="F188" s="121"/>
      <c r="G188" s="64"/>
    </row>
    <row r="189" spans="2:7">
      <c r="B189" s="75"/>
      <c r="D189" s="166"/>
      <c r="E189" s="64"/>
      <c r="F189" s="121"/>
      <c r="G189" s="64"/>
    </row>
    <row r="190" spans="2:7">
      <c r="B190" s="75"/>
      <c r="D190" s="166"/>
      <c r="E190" s="64"/>
      <c r="F190" s="121"/>
      <c r="G190" s="64"/>
    </row>
    <row r="191" spans="2:7">
      <c r="B191" s="75"/>
      <c r="D191" s="166"/>
      <c r="E191" s="64"/>
      <c r="F191" s="121"/>
      <c r="G191" s="64"/>
    </row>
    <row r="192" spans="2:7">
      <c r="B192" s="75"/>
      <c r="D192" s="166"/>
      <c r="E192" s="64"/>
      <c r="F192" s="121"/>
      <c r="G192" s="64"/>
    </row>
    <row r="193" spans="2:7">
      <c r="B193" s="75"/>
      <c r="D193" s="166"/>
      <c r="E193" s="64"/>
      <c r="F193" s="121"/>
      <c r="G193" s="64"/>
    </row>
    <row r="194" spans="2:7">
      <c r="B194" s="75"/>
      <c r="D194" s="166"/>
      <c r="E194" s="64"/>
      <c r="F194" s="121"/>
      <c r="G194" s="64"/>
    </row>
    <row r="195" spans="2:7">
      <c r="B195" s="75"/>
      <c r="D195" s="166"/>
      <c r="E195" s="64"/>
      <c r="F195" s="121"/>
      <c r="G195" s="64"/>
    </row>
    <row r="196" spans="2:7">
      <c r="B196" s="75"/>
      <c r="D196" s="166"/>
      <c r="E196" s="64"/>
      <c r="F196" s="121"/>
      <c r="G196" s="64"/>
    </row>
    <row r="197" spans="2:7">
      <c r="B197" s="75"/>
      <c r="D197" s="166"/>
      <c r="E197" s="64"/>
      <c r="F197" s="121"/>
      <c r="G197" s="64"/>
    </row>
    <row r="198" spans="2:7">
      <c r="B198" s="75"/>
      <c r="D198" s="166"/>
      <c r="E198" s="64"/>
      <c r="F198" s="121"/>
      <c r="G198" s="64"/>
    </row>
    <row r="199" spans="2:7">
      <c r="B199" s="75"/>
      <c r="D199" s="166"/>
      <c r="E199" s="64"/>
      <c r="F199" s="121"/>
      <c r="G199" s="64"/>
    </row>
    <row r="200" spans="2:7">
      <c r="B200" s="75"/>
      <c r="D200" s="166"/>
      <c r="E200" s="64"/>
      <c r="F200" s="121"/>
      <c r="G200" s="64"/>
    </row>
    <row r="201" spans="2:7">
      <c r="B201" s="75"/>
      <c r="D201" s="166"/>
      <c r="E201" s="64"/>
      <c r="F201" s="121"/>
      <c r="G201" s="64"/>
    </row>
    <row r="202" spans="2:7">
      <c r="B202" s="75"/>
      <c r="D202" s="166"/>
      <c r="E202" s="64"/>
      <c r="F202" s="121"/>
      <c r="G202" s="64"/>
    </row>
    <row r="203" spans="2:7">
      <c r="B203" s="75"/>
      <c r="D203" s="166"/>
      <c r="E203" s="64"/>
      <c r="F203" s="121"/>
      <c r="G203" s="64"/>
    </row>
    <row r="204" spans="2:7">
      <c r="B204" s="75"/>
      <c r="D204" s="166"/>
      <c r="E204" s="64"/>
      <c r="F204" s="121"/>
      <c r="G204" s="64"/>
    </row>
    <row r="205" spans="2:7">
      <c r="B205" s="75"/>
      <c r="D205" s="166"/>
      <c r="E205" s="64"/>
      <c r="F205" s="121"/>
      <c r="G205" s="64"/>
    </row>
    <row r="206" spans="2:7">
      <c r="B206" s="75"/>
      <c r="D206" s="166"/>
      <c r="E206" s="64"/>
      <c r="F206" s="121"/>
      <c r="G206" s="64"/>
    </row>
    <row r="207" spans="2:7">
      <c r="B207" s="75"/>
      <c r="D207" s="166"/>
      <c r="E207" s="64"/>
      <c r="F207" s="121"/>
      <c r="G207" s="64"/>
    </row>
    <row r="208" spans="2:7">
      <c r="B208" s="75"/>
      <c r="D208" s="166"/>
      <c r="E208" s="64"/>
      <c r="F208" s="121"/>
      <c r="G208" s="64"/>
    </row>
    <row r="209" spans="2:7">
      <c r="B209" s="75"/>
      <c r="D209" s="166"/>
      <c r="E209" s="64"/>
      <c r="F209" s="121"/>
      <c r="G209" s="64"/>
    </row>
    <row r="210" spans="2:7">
      <c r="B210" s="75"/>
      <c r="D210" s="166"/>
      <c r="E210" s="64"/>
      <c r="F210" s="121"/>
      <c r="G210" s="64"/>
    </row>
    <row r="211" spans="2:7">
      <c r="B211" s="75"/>
      <c r="D211" s="166"/>
      <c r="E211" s="64"/>
      <c r="F211" s="121"/>
      <c r="G211" s="64"/>
    </row>
    <row r="212" spans="2:7">
      <c r="B212" s="75"/>
      <c r="D212" s="166"/>
      <c r="E212" s="64"/>
      <c r="F212" s="121"/>
      <c r="G212" s="64"/>
    </row>
    <row r="213" spans="2:7">
      <c r="B213" s="75"/>
      <c r="D213" s="166"/>
      <c r="E213" s="64"/>
      <c r="F213" s="121"/>
      <c r="G213" s="64"/>
    </row>
    <row r="214" spans="2:7">
      <c r="B214" s="75"/>
      <c r="D214" s="166"/>
      <c r="E214" s="64"/>
      <c r="F214" s="121"/>
      <c r="G214" s="64"/>
    </row>
    <row r="215" spans="2:7">
      <c r="B215" s="75"/>
      <c r="D215" s="166"/>
      <c r="E215" s="64"/>
      <c r="F215" s="121"/>
      <c r="G215" s="64"/>
    </row>
    <row r="216" spans="2:7">
      <c r="B216" s="75"/>
      <c r="D216" s="166"/>
      <c r="E216" s="64"/>
      <c r="F216" s="121"/>
      <c r="G216" s="64"/>
    </row>
    <row r="217" spans="2:7">
      <c r="B217" s="75"/>
      <c r="D217" s="166"/>
      <c r="E217" s="64"/>
      <c r="F217" s="121"/>
      <c r="G217" s="64"/>
    </row>
    <row r="218" spans="2:7">
      <c r="B218" s="75"/>
      <c r="D218" s="166"/>
      <c r="E218" s="64"/>
      <c r="F218" s="121"/>
      <c r="G218" s="64"/>
    </row>
    <row r="219" spans="2:7">
      <c r="B219" s="75"/>
      <c r="D219" s="166"/>
      <c r="E219" s="64"/>
      <c r="F219" s="121"/>
      <c r="G219" s="64"/>
    </row>
    <row r="220" spans="2:7">
      <c r="B220" s="75"/>
      <c r="D220" s="166"/>
      <c r="E220" s="64"/>
      <c r="F220" s="121"/>
      <c r="G220" s="64"/>
    </row>
    <row r="221" spans="2:7">
      <c r="B221" s="75"/>
      <c r="D221" s="166"/>
      <c r="E221" s="64"/>
      <c r="F221" s="121"/>
      <c r="G221" s="64"/>
    </row>
    <row r="222" spans="2:7">
      <c r="B222" s="75"/>
      <c r="D222" s="166"/>
      <c r="E222" s="64"/>
      <c r="F222" s="121"/>
      <c r="G222" s="64"/>
    </row>
    <row r="223" spans="2:7">
      <c r="B223" s="75"/>
      <c r="D223" s="166"/>
      <c r="E223" s="64"/>
      <c r="F223" s="121"/>
      <c r="G223" s="64"/>
    </row>
    <row r="224" spans="2:7">
      <c r="B224" s="75"/>
      <c r="D224" s="166"/>
      <c r="E224" s="64"/>
      <c r="F224" s="121"/>
      <c r="G224" s="64"/>
    </row>
    <row r="225" spans="2:7">
      <c r="B225" s="168"/>
      <c r="D225" s="169"/>
      <c r="E225" s="170"/>
      <c r="F225" s="171"/>
      <c r="G225" s="170"/>
    </row>
  </sheetData>
  <mergeCells count="1">
    <mergeCell ref="M91:O91"/>
  </mergeCells>
  <conditionalFormatting sqref="B52">
    <cfRule type="expression" dxfId="18" priority="8">
      <formula>AND(#REF!&amp;$B52&lt;&gt;#REF!&amp;#REF!)</formula>
    </cfRule>
  </conditionalFormatting>
  <conditionalFormatting sqref="B109:C109">
    <cfRule type="expression" dxfId="17" priority="2">
      <formula>AND($F109&amp;$G109&lt;&gt;$F108&amp;$G108)</formula>
    </cfRule>
  </conditionalFormatting>
  <conditionalFormatting sqref="B112:C112">
    <cfRule type="expression" dxfId="16" priority="1">
      <formula>AND($F112&amp;$G112&lt;&gt;$F111&amp;$G111)</formula>
    </cfRule>
  </conditionalFormatting>
  <conditionalFormatting sqref="B131:C131">
    <cfRule type="expression" dxfId="15" priority="3">
      <formula>AND($F131&amp;$G131&lt;&gt;$F130&amp;$G130)</formula>
    </cfRule>
  </conditionalFormatting>
  <conditionalFormatting sqref="B139:C139">
    <cfRule type="expression" dxfId="14" priority="7">
      <formula>AND($F139&amp;$G139&lt;&gt;#REF!&amp;#REF!)</formula>
    </cfRule>
  </conditionalFormatting>
  <conditionalFormatting sqref="C133:C135">
    <cfRule type="expression" dxfId="13" priority="4">
      <formula>AND($F136&amp;$G136&lt;&gt;$F133&amp;$G133)</formula>
    </cfRule>
  </conditionalFormatting>
  <conditionalFormatting sqref="D3">
    <cfRule type="expression" dxfId="12" priority="5">
      <formula>AND(#REF!&amp;$B3&lt;&gt;#REF!&amp;#REF!)</formula>
    </cfRule>
  </conditionalFormatting>
  <conditionalFormatting sqref="D40:D41">
    <cfRule type="expression" dxfId="11" priority="6">
      <formula>AND(#REF!&amp;$B40&lt;&gt;#REF!&amp;#REF!)</formula>
    </cfRule>
  </conditionalFormatting>
  <hyperlinks>
    <hyperlink ref="L2" r:id="rId1" xr:uid="{A96FBCF9-8DBC-48B2-B93B-529DA1CB271B}"/>
  </hyperlinks>
  <pageMargins left="0.25" right="0.25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9"/>
  <sheetViews>
    <sheetView topLeftCell="A52" zoomScale="74" zoomScaleNormal="46" workbookViewId="0">
      <selection activeCell="J54" sqref="J54"/>
    </sheetView>
  </sheetViews>
  <sheetFormatPr baseColWidth="10" defaultColWidth="10.77734375" defaultRowHeight="18"/>
  <cols>
    <col min="1" max="1" width="20.5546875" style="92" customWidth="1"/>
    <col min="2" max="2" width="29.5546875" style="64" customWidth="1"/>
    <col min="3" max="3" width="26" style="65" customWidth="1"/>
    <col min="4" max="4" width="29.21875" style="94" customWidth="1"/>
    <col min="5" max="5" width="15.5546875" style="66" customWidth="1"/>
    <col min="6" max="6" width="13.44140625" style="67" customWidth="1"/>
    <col min="7" max="7" width="15.77734375" style="66" customWidth="1"/>
    <col min="8" max="8" width="15.77734375" style="64" customWidth="1"/>
    <col min="9" max="9" width="17" style="64" customWidth="1"/>
    <col min="10" max="10" width="19.6640625" style="95" bestFit="1" customWidth="1"/>
    <col min="11" max="12" width="10.77734375" style="92"/>
    <col min="13" max="13" width="24" style="92" customWidth="1"/>
    <col min="14" max="14" width="10.77734375" style="92"/>
    <col min="15" max="15" width="25.21875" style="92" customWidth="1"/>
    <col min="16" max="16" width="24.77734375" style="92" customWidth="1"/>
    <col min="17" max="18" width="10.77734375" style="92"/>
    <col min="19" max="19" width="22.77734375" style="92" customWidth="1"/>
    <col min="20" max="16384" width="10.77734375" style="92"/>
  </cols>
  <sheetData>
    <row r="1" spans="1:19">
      <c r="B1" s="94" t="s">
        <v>162</v>
      </c>
      <c r="C1" s="96" t="s">
        <v>1</v>
      </c>
      <c r="D1" s="94" t="s">
        <v>2</v>
      </c>
      <c r="E1" s="94" t="s">
        <v>3</v>
      </c>
      <c r="F1" s="67" t="s">
        <v>4</v>
      </c>
      <c r="G1" s="66" t="s">
        <v>5</v>
      </c>
      <c r="H1" s="205" t="s">
        <v>470</v>
      </c>
      <c r="I1" s="94" t="s">
        <v>6</v>
      </c>
      <c r="J1" s="122" t="s">
        <v>163</v>
      </c>
      <c r="M1" s="123"/>
      <c r="N1" s="123"/>
    </row>
    <row r="2" spans="1:19" s="93" customFormat="1" ht="16.2" customHeight="1">
      <c r="A2" s="97"/>
      <c r="B2" s="98" t="s">
        <v>164</v>
      </c>
      <c r="C2" s="99"/>
      <c r="D2" s="98"/>
      <c r="E2" s="98"/>
      <c r="F2" s="100"/>
      <c r="G2" s="101"/>
      <c r="H2" s="203"/>
      <c r="I2" s="101"/>
      <c r="J2" s="124"/>
      <c r="M2" s="125"/>
      <c r="N2" s="125"/>
    </row>
    <row r="3" spans="1:19" ht="76.2" customHeight="1">
      <c r="A3" s="92" t="e" vm="1">
        <v>#VALUE!</v>
      </c>
      <c r="B3" s="178" t="s">
        <v>427</v>
      </c>
      <c r="C3" s="189" t="str">
        <f ca="1">IFERROR(__xludf.DUMMYFUNCTION("""COMPUTED_VALUE"""),"5060668839096")</f>
        <v>5060668839096</v>
      </c>
      <c r="D3" s="187" t="s">
        <v>142</v>
      </c>
      <c r="E3" s="102" t="s">
        <v>165</v>
      </c>
      <c r="F3" s="103">
        <v>6.66</v>
      </c>
      <c r="G3" s="104">
        <v>16</v>
      </c>
      <c r="H3" s="204">
        <v>6</v>
      </c>
      <c r="I3" s="102"/>
      <c r="J3" s="126">
        <f t="shared" ref="J3:J8" si="0">F3*I3</f>
        <v>0</v>
      </c>
      <c r="K3" s="127"/>
      <c r="O3" s="128"/>
      <c r="P3" s="129"/>
      <c r="Q3" s="129"/>
      <c r="R3" s="129"/>
      <c r="S3" s="129"/>
    </row>
    <row r="4" spans="1:19" ht="80.55" customHeight="1">
      <c r="A4" s="92" t="e" vm="2">
        <v>#VALUE!</v>
      </c>
      <c r="B4" s="178" t="s">
        <v>428</v>
      </c>
      <c r="C4" s="189" t="str">
        <f ca="1">IFERROR(__xludf.DUMMYFUNCTION("""COMPUTED_VALUE"""),"5060668839058")</f>
        <v>5060668839058</v>
      </c>
      <c r="D4" s="187" t="s">
        <v>423</v>
      </c>
      <c r="E4" s="102" t="s">
        <v>165</v>
      </c>
      <c r="F4" s="103">
        <v>6.66</v>
      </c>
      <c r="G4" s="104">
        <v>16</v>
      </c>
      <c r="H4" s="204">
        <v>6</v>
      </c>
      <c r="I4" s="66"/>
      <c r="J4" s="126">
        <f t="shared" si="0"/>
        <v>0</v>
      </c>
      <c r="O4" s="128"/>
      <c r="P4" s="129"/>
      <c r="Q4" s="129"/>
      <c r="R4" s="129"/>
      <c r="S4" s="129"/>
    </row>
    <row r="5" spans="1:19" ht="83.7" customHeight="1">
      <c r="A5" s="92" t="e" vm="3">
        <v>#VALUE!</v>
      </c>
      <c r="B5" s="178" t="s">
        <v>429</v>
      </c>
      <c r="C5" s="189" t="str">
        <f ca="1">IFERROR(__xludf.DUMMYFUNCTION("""COMPUTED_VALUE"""),"5060668839133")</f>
        <v>5060668839133</v>
      </c>
      <c r="D5" s="187" t="s">
        <v>425</v>
      </c>
      <c r="E5" s="102" t="s">
        <v>165</v>
      </c>
      <c r="F5" s="103">
        <v>6.66</v>
      </c>
      <c r="G5" s="104">
        <v>16</v>
      </c>
      <c r="H5" s="204">
        <v>6</v>
      </c>
      <c r="I5" s="66"/>
      <c r="J5" s="126">
        <f t="shared" si="0"/>
        <v>0</v>
      </c>
      <c r="O5" s="128"/>
      <c r="P5" s="129"/>
      <c r="Q5" s="129"/>
      <c r="R5" s="129"/>
      <c r="S5" s="129"/>
    </row>
    <row r="6" spans="1:19" ht="92.7" customHeight="1">
      <c r="A6" s="92" t="e" vm="4">
        <v>#VALUE!</v>
      </c>
      <c r="B6" s="178" t="s">
        <v>430</v>
      </c>
      <c r="C6" s="189" t="str">
        <f ca="1">IFERROR(__xludf.DUMMYFUNCTION("""COMPUTED_VALUE"""),"5060668839089")</f>
        <v>5060668839089</v>
      </c>
      <c r="D6" s="187" t="s">
        <v>424</v>
      </c>
      <c r="E6" s="102" t="s">
        <v>165</v>
      </c>
      <c r="F6" s="103">
        <v>6.66</v>
      </c>
      <c r="G6" s="104">
        <v>16</v>
      </c>
      <c r="H6" s="204">
        <v>6</v>
      </c>
      <c r="I6" s="66"/>
      <c r="J6" s="126">
        <f t="shared" si="0"/>
        <v>0</v>
      </c>
      <c r="O6" s="128"/>
      <c r="P6" s="129"/>
      <c r="Q6" s="129"/>
      <c r="R6" s="129"/>
      <c r="S6" s="129"/>
    </row>
    <row r="7" spans="1:19" ht="92.7" customHeight="1">
      <c r="A7" s="92" t="e" vm="5">
        <v>#VALUE!</v>
      </c>
      <c r="B7" s="178" t="s">
        <v>431</v>
      </c>
      <c r="C7" s="189" t="str">
        <f ca="1">IFERROR(__xludf.DUMMYFUNCTION("""COMPUTED_VALUE"""),"5061011623225")</f>
        <v>5061011623225</v>
      </c>
      <c r="D7" s="187" t="s">
        <v>95</v>
      </c>
      <c r="E7" s="102" t="s">
        <v>165</v>
      </c>
      <c r="F7" s="103">
        <v>6.66</v>
      </c>
      <c r="G7" s="104">
        <v>16</v>
      </c>
      <c r="H7" s="204">
        <v>6</v>
      </c>
      <c r="I7" s="66"/>
      <c r="J7" s="126">
        <f t="shared" si="0"/>
        <v>0</v>
      </c>
      <c r="O7" s="128"/>
      <c r="P7" s="129"/>
      <c r="Q7" s="129"/>
      <c r="R7" s="129"/>
      <c r="S7" s="129"/>
    </row>
    <row r="8" spans="1:19" ht="82.95" customHeight="1">
      <c r="A8" s="92" t="e" vm="6">
        <v>#VALUE!</v>
      </c>
      <c r="B8" s="178" t="s">
        <v>432</v>
      </c>
      <c r="C8" s="189" t="str">
        <f ca="1">IFERROR(__xludf.DUMMYFUNCTION("""COMPUTED_VALUE"""),"5060668839072")</f>
        <v>5060668839072</v>
      </c>
      <c r="D8" s="187" t="s">
        <v>426</v>
      </c>
      <c r="E8" s="102" t="s">
        <v>165</v>
      </c>
      <c r="F8" s="103">
        <v>6.66</v>
      </c>
      <c r="G8" s="104">
        <v>16</v>
      </c>
      <c r="H8" s="204">
        <v>6</v>
      </c>
      <c r="I8" s="102"/>
      <c r="J8" s="126">
        <f t="shared" si="0"/>
        <v>0</v>
      </c>
      <c r="O8" s="128"/>
      <c r="P8" s="129"/>
      <c r="Q8" s="129"/>
      <c r="R8" s="129"/>
      <c r="S8" s="129"/>
    </row>
    <row r="9" spans="1:19" ht="76.2" customHeight="1">
      <c r="A9" s="92" t="e" vm="7">
        <v>#VALUE!</v>
      </c>
      <c r="B9" s="178" t="s">
        <v>412</v>
      </c>
      <c r="C9" s="189" t="str">
        <f ca="1">IFERROR(__xludf.DUMMYFUNCTION("""COMPUTED_VALUE"""),"5061011625595")</f>
        <v>5061011625595</v>
      </c>
      <c r="D9" s="187" t="s">
        <v>312</v>
      </c>
      <c r="E9" s="102" t="s">
        <v>165</v>
      </c>
      <c r="F9" s="103">
        <v>6.66</v>
      </c>
      <c r="G9" s="104">
        <v>16</v>
      </c>
      <c r="H9" s="204">
        <v>6</v>
      </c>
      <c r="I9" s="102"/>
      <c r="J9" s="126">
        <f t="shared" ref="J9" si="1">F9*I9</f>
        <v>0</v>
      </c>
      <c r="K9" s="127"/>
      <c r="O9" s="128"/>
      <c r="P9" s="129"/>
      <c r="Q9" s="129"/>
      <c r="R9" s="129"/>
      <c r="S9" s="129"/>
    </row>
    <row r="10" spans="1:19" ht="80.55" customHeight="1">
      <c r="A10" s="92" t="e" vm="8">
        <v>#VALUE!</v>
      </c>
      <c r="B10" s="178" t="s">
        <v>413</v>
      </c>
      <c r="C10" s="189" t="str">
        <f ca="1">IFERROR(__xludf.DUMMYFUNCTION("""COMPUTED_VALUE"""),"5061011625588")</f>
        <v>5061011625588</v>
      </c>
      <c r="D10" s="187" t="s">
        <v>328</v>
      </c>
      <c r="E10" s="102" t="s">
        <v>165</v>
      </c>
      <c r="F10" s="103">
        <v>6.66</v>
      </c>
      <c r="G10" s="104">
        <v>16</v>
      </c>
      <c r="H10" s="204">
        <v>6</v>
      </c>
      <c r="I10" s="66"/>
      <c r="J10" s="126">
        <f t="shared" ref="J10:J25" si="2">F10*I10</f>
        <v>0</v>
      </c>
      <c r="O10" s="128"/>
      <c r="P10" s="129"/>
      <c r="Q10" s="129"/>
      <c r="R10" s="129"/>
      <c r="S10" s="129"/>
    </row>
    <row r="11" spans="1:19" ht="83.7" customHeight="1">
      <c r="A11" s="92" t="e" vm="9">
        <v>#VALUE!</v>
      </c>
      <c r="B11" s="178" t="s">
        <v>414</v>
      </c>
      <c r="C11" s="189" t="str">
        <f ca="1">IFERROR(__xludf.DUMMYFUNCTION("""COMPUTED_VALUE"""),"5061011625571")</f>
        <v>5061011625571</v>
      </c>
      <c r="D11" s="187" t="s">
        <v>408</v>
      </c>
      <c r="E11" s="102" t="s">
        <v>165</v>
      </c>
      <c r="F11" s="103">
        <v>6.66</v>
      </c>
      <c r="G11" s="104">
        <v>16</v>
      </c>
      <c r="H11" s="204">
        <v>6</v>
      </c>
      <c r="I11" s="66"/>
      <c r="J11" s="126">
        <f t="shared" si="2"/>
        <v>0</v>
      </c>
      <c r="O11" s="128"/>
      <c r="P11" s="129"/>
      <c r="Q11" s="129"/>
      <c r="R11" s="129"/>
      <c r="S11" s="129"/>
    </row>
    <row r="12" spans="1:19" ht="92.7" customHeight="1">
      <c r="A12" s="92" t="e" vm="10">
        <v>#VALUE!</v>
      </c>
      <c r="B12" s="178" t="s">
        <v>415</v>
      </c>
      <c r="C12" s="189" t="str">
        <f ca="1">IFERROR(__xludf.DUMMYFUNCTION("""COMPUTED_VALUE"""),"5061011628473")</f>
        <v>5061011628473</v>
      </c>
      <c r="D12" s="187" t="s">
        <v>409</v>
      </c>
      <c r="E12" s="102" t="s">
        <v>165</v>
      </c>
      <c r="F12" s="103">
        <v>6.66</v>
      </c>
      <c r="G12" s="104">
        <v>16</v>
      </c>
      <c r="H12" s="204">
        <v>6</v>
      </c>
      <c r="I12" s="66"/>
      <c r="J12" s="126">
        <f t="shared" si="2"/>
        <v>0</v>
      </c>
      <c r="O12" s="128"/>
      <c r="P12" s="129"/>
      <c r="Q12" s="129"/>
      <c r="R12" s="129"/>
      <c r="S12" s="129"/>
    </row>
    <row r="13" spans="1:19" ht="92.7" customHeight="1">
      <c r="A13" s="92" t="e" vm="11">
        <v>#VALUE!</v>
      </c>
      <c r="B13" s="178" t="s">
        <v>416</v>
      </c>
      <c r="C13" s="189" t="str">
        <f ca="1">IFERROR(__xludf.DUMMYFUNCTION("""COMPUTED_VALUE"""),"5061011628497")</f>
        <v>5061011628497</v>
      </c>
      <c r="D13" s="187" t="s">
        <v>410</v>
      </c>
      <c r="E13" s="102" t="s">
        <v>165</v>
      </c>
      <c r="F13" s="103">
        <v>6.66</v>
      </c>
      <c r="G13" s="104">
        <v>16</v>
      </c>
      <c r="H13" s="204">
        <v>6</v>
      </c>
      <c r="I13" s="66"/>
      <c r="J13" s="126">
        <f t="shared" ref="J13" si="3">F13*I13</f>
        <v>0</v>
      </c>
      <c r="O13" s="128"/>
      <c r="P13" s="129"/>
      <c r="Q13" s="129"/>
      <c r="R13" s="129"/>
      <c r="S13" s="129"/>
    </row>
    <row r="14" spans="1:19" ht="90" customHeight="1">
      <c r="A14" s="92" t="e" vm="12">
        <v>#VALUE!</v>
      </c>
      <c r="B14" s="178" t="s">
        <v>417</v>
      </c>
      <c r="C14" s="189" t="str">
        <f ca="1">IFERROR(__xludf.DUMMYFUNCTION("""COMPUTED_VALUE"""),"5061011628480")</f>
        <v>5061011628480</v>
      </c>
      <c r="D14" s="187" t="s">
        <v>411</v>
      </c>
      <c r="E14" s="102" t="s">
        <v>165</v>
      </c>
      <c r="F14" s="103">
        <v>6.66</v>
      </c>
      <c r="G14" s="104">
        <v>16</v>
      </c>
      <c r="H14" s="204">
        <v>6</v>
      </c>
      <c r="I14" s="102"/>
      <c r="J14" s="126">
        <f t="shared" si="2"/>
        <v>0</v>
      </c>
      <c r="O14" s="128"/>
      <c r="P14" s="129"/>
      <c r="Q14" s="129"/>
      <c r="R14" s="129"/>
      <c r="S14" s="129"/>
    </row>
    <row r="15" spans="1:19" ht="83.55" customHeight="1">
      <c r="A15" s="92" t="e" vm="13">
        <v>#VALUE!</v>
      </c>
      <c r="B15" s="178" t="s">
        <v>418</v>
      </c>
      <c r="C15" s="189" t="str">
        <f ca="1">IFERROR(__xludf.DUMMYFUNCTION("""COMPUTED_VALUE"""),"5061011628503")</f>
        <v>5061011628503</v>
      </c>
      <c r="D15" s="187" t="s">
        <v>284</v>
      </c>
      <c r="E15" s="102" t="s">
        <v>165</v>
      </c>
      <c r="F15" s="103">
        <v>6.66</v>
      </c>
      <c r="G15" s="104">
        <v>16</v>
      </c>
      <c r="H15" s="204">
        <v>6</v>
      </c>
      <c r="I15" s="102"/>
      <c r="J15" s="126">
        <f t="shared" si="2"/>
        <v>0</v>
      </c>
      <c r="O15" s="128"/>
      <c r="P15" s="129"/>
      <c r="Q15" s="129"/>
      <c r="R15" s="129"/>
      <c r="S15" s="129"/>
    </row>
    <row r="16" spans="1:19" ht="87.6" customHeight="1">
      <c r="A16" s="92" t="e" vm="14">
        <v>#VALUE!</v>
      </c>
      <c r="B16" s="178" t="s">
        <v>419</v>
      </c>
      <c r="C16" s="189" t="str">
        <f ca="1">IFERROR(__xludf.DUMMYFUNCTION("""COMPUTED_VALUE"""),"5061011628466")</f>
        <v>5061011628466</v>
      </c>
      <c r="D16" s="187" t="s">
        <v>314</v>
      </c>
      <c r="E16" s="102" t="s">
        <v>165</v>
      </c>
      <c r="F16" s="103">
        <v>6.66</v>
      </c>
      <c r="G16" s="104">
        <v>16</v>
      </c>
      <c r="H16" s="204">
        <v>6</v>
      </c>
      <c r="I16" s="102"/>
      <c r="J16" s="126">
        <f t="shared" si="2"/>
        <v>0</v>
      </c>
      <c r="O16" s="128"/>
      <c r="P16" s="129"/>
      <c r="Q16" s="129"/>
      <c r="R16" s="129"/>
      <c r="S16" s="129"/>
    </row>
    <row r="17" spans="1:19" ht="41.7" customHeight="1">
      <c r="A17" s="97"/>
      <c r="B17" s="106" t="s">
        <v>166</v>
      </c>
      <c r="C17" s="190"/>
      <c r="D17" s="98"/>
      <c r="E17" s="101"/>
      <c r="F17" s="107"/>
      <c r="G17" s="108"/>
      <c r="H17" s="203"/>
      <c r="I17" s="101"/>
      <c r="J17" s="130"/>
      <c r="O17" s="128"/>
      <c r="P17" s="129"/>
      <c r="Q17" s="129"/>
      <c r="R17" s="129"/>
      <c r="S17" s="129"/>
    </row>
    <row r="18" spans="1:19" ht="82.95" customHeight="1">
      <c r="A18" s="93" t="e" vm="15">
        <v>#VALUE!</v>
      </c>
      <c r="B18" s="178" t="s">
        <v>421</v>
      </c>
      <c r="C18" s="189" t="str">
        <f ca="1">IFERROR(__xludf.DUMMYFUNCTION("""COMPUTED_VALUE"""),"5061011628442")</f>
        <v>5061011628442</v>
      </c>
      <c r="D18" s="187" t="s">
        <v>336</v>
      </c>
      <c r="E18" s="102" t="s">
        <v>165</v>
      </c>
      <c r="F18" s="109">
        <v>7.91</v>
      </c>
      <c r="G18" s="105">
        <v>19</v>
      </c>
      <c r="H18" s="204">
        <v>6</v>
      </c>
      <c r="I18" s="66"/>
      <c r="J18" s="126">
        <f t="shared" ref="J18:J19" si="4">F18*I18</f>
        <v>0</v>
      </c>
      <c r="O18" s="128"/>
      <c r="P18" s="129"/>
      <c r="Q18" s="129"/>
      <c r="R18" s="129"/>
      <c r="S18" s="129"/>
    </row>
    <row r="19" spans="1:19" ht="79.5" customHeight="1">
      <c r="A19" s="93" t="e" vm="16">
        <v>#VALUE!</v>
      </c>
      <c r="B19" s="178" t="s">
        <v>422</v>
      </c>
      <c r="C19" s="189" t="str">
        <f ca="1">IFERROR(__xludf.DUMMYFUNCTION("""COMPUTED_VALUE"""),"5061011628459")</f>
        <v>5061011628459</v>
      </c>
      <c r="D19" s="187" t="s">
        <v>420</v>
      </c>
      <c r="E19" s="102" t="s">
        <v>165</v>
      </c>
      <c r="F19" s="109">
        <v>7.91</v>
      </c>
      <c r="G19" s="105">
        <v>19</v>
      </c>
      <c r="H19" s="204">
        <v>6</v>
      </c>
      <c r="I19" s="66"/>
      <c r="J19" s="126">
        <f t="shared" si="4"/>
        <v>0</v>
      </c>
      <c r="O19" s="128"/>
      <c r="P19" s="129"/>
      <c r="Q19" s="129"/>
      <c r="R19" s="129"/>
      <c r="S19" s="129"/>
    </row>
    <row r="20" spans="1:19" ht="20.7" customHeight="1">
      <c r="A20" s="110"/>
      <c r="B20" s="98" t="s">
        <v>462</v>
      </c>
      <c r="C20" s="190"/>
      <c r="D20" s="98"/>
      <c r="E20" s="98"/>
      <c r="F20" s="107"/>
      <c r="G20" s="108"/>
      <c r="H20" s="203"/>
      <c r="I20" s="98"/>
      <c r="J20" s="130"/>
    </row>
    <row r="21" spans="1:19" ht="77.7" customHeight="1">
      <c r="B21" s="178" t="s">
        <v>433</v>
      </c>
      <c r="C21" s="189" t="str">
        <f ca="1">IFERROR(__xludf.DUMMYFUNCTION("""COMPUTED_VALUE"""),"5061011628534")</f>
        <v>5061011628534</v>
      </c>
      <c r="D21" s="187" t="s">
        <v>420</v>
      </c>
      <c r="E21" s="66" t="s">
        <v>167</v>
      </c>
      <c r="F21" s="109">
        <v>10.83</v>
      </c>
      <c r="G21" s="105">
        <v>26</v>
      </c>
      <c r="H21" s="204">
        <v>6</v>
      </c>
      <c r="I21" s="66"/>
      <c r="J21" s="126">
        <f t="shared" si="2"/>
        <v>0</v>
      </c>
    </row>
    <row r="22" spans="1:19" ht="95.7" customHeight="1">
      <c r="B22" s="178" t="s">
        <v>434</v>
      </c>
      <c r="C22" s="191" t="str">
        <f ca="1">IFERROR(__xludf.DUMMYFUNCTION("""COMPUTED_VALUE"""),"5061011628527")</f>
        <v>5061011628527</v>
      </c>
      <c r="D22" s="187" t="s">
        <v>336</v>
      </c>
      <c r="E22" s="66" t="s">
        <v>167</v>
      </c>
      <c r="F22" s="109">
        <v>10.83</v>
      </c>
      <c r="G22" s="105">
        <v>26</v>
      </c>
      <c r="H22" s="204">
        <v>6</v>
      </c>
      <c r="I22" s="66"/>
      <c r="J22" s="126">
        <f t="shared" si="2"/>
        <v>0</v>
      </c>
      <c r="O22" s="128"/>
      <c r="P22" s="129"/>
      <c r="Q22" s="129"/>
      <c r="R22" s="129"/>
      <c r="S22" s="129"/>
    </row>
    <row r="23" spans="1:19" ht="21" customHeight="1">
      <c r="A23" s="110"/>
      <c r="B23" s="98" t="s">
        <v>463</v>
      </c>
      <c r="C23" s="190"/>
      <c r="D23" s="98"/>
      <c r="E23" s="98"/>
      <c r="F23" s="107"/>
      <c r="G23" s="108"/>
      <c r="H23" s="203"/>
      <c r="I23" s="98"/>
      <c r="J23" s="124"/>
      <c r="M23" s="111"/>
      <c r="N23" s="131"/>
      <c r="O23" s="128"/>
      <c r="P23" s="129"/>
      <c r="Q23" s="129"/>
      <c r="R23" s="129"/>
      <c r="S23" s="129"/>
    </row>
    <row r="24" spans="1:19" ht="72.599999999999994" customHeight="1">
      <c r="B24" s="178" t="s">
        <v>443</v>
      </c>
      <c r="C24" s="192" t="str">
        <f ca="1">IFERROR(__xludf.DUMMYFUNCTION("""COMPUTED_VALUE"""),"5061011628350")</f>
        <v>5061011628350</v>
      </c>
      <c r="D24" s="187" t="s">
        <v>336</v>
      </c>
      <c r="E24" s="102" t="s">
        <v>168</v>
      </c>
      <c r="F24" s="109">
        <v>7.08</v>
      </c>
      <c r="G24" s="105">
        <v>17</v>
      </c>
      <c r="H24" s="204">
        <v>6</v>
      </c>
      <c r="I24" s="66"/>
      <c r="J24" s="126">
        <f t="shared" si="2"/>
        <v>0</v>
      </c>
      <c r="M24" s="111"/>
      <c r="N24" s="131"/>
      <c r="O24" s="128"/>
      <c r="P24" s="129"/>
      <c r="Q24" s="129"/>
      <c r="R24" s="129"/>
      <c r="S24" s="129"/>
    </row>
    <row r="25" spans="1:19" ht="18.45" customHeight="1">
      <c r="B25" s="178" t="s">
        <v>435</v>
      </c>
      <c r="C25" s="192" t="str">
        <f ca="1">IFERROR(__xludf.DUMMYFUNCTION("""COMPUTED_VALUE"""),"5061011628374")</f>
        <v>5061011628374</v>
      </c>
      <c r="D25" s="187" t="s">
        <v>336</v>
      </c>
      <c r="E25" s="102" t="s">
        <v>169</v>
      </c>
      <c r="F25" s="109">
        <v>14.58</v>
      </c>
      <c r="G25" s="105">
        <v>35</v>
      </c>
      <c r="H25" s="204">
        <v>6</v>
      </c>
      <c r="I25" s="66"/>
      <c r="J25" s="126">
        <f t="shared" si="2"/>
        <v>0</v>
      </c>
      <c r="M25" s="111"/>
      <c r="N25" s="131"/>
      <c r="O25" s="128"/>
      <c r="P25" s="129"/>
      <c r="Q25" s="129"/>
      <c r="R25" s="129"/>
      <c r="S25" s="129"/>
    </row>
    <row r="26" spans="1:19" ht="21.45" customHeight="1">
      <c r="B26" s="178" t="s">
        <v>436</v>
      </c>
      <c r="C26" s="192" t="str">
        <f ca="1">IFERROR(__xludf.DUMMYFUNCTION("""COMPUTED_VALUE"""),"5061011628398")</f>
        <v>5061011628398</v>
      </c>
      <c r="D26" s="187" t="s">
        <v>336</v>
      </c>
      <c r="E26" s="102" t="s">
        <v>170</v>
      </c>
      <c r="F26" s="103">
        <v>16.66</v>
      </c>
      <c r="G26" s="104">
        <v>40</v>
      </c>
      <c r="H26" s="204">
        <v>6</v>
      </c>
      <c r="I26" s="102"/>
      <c r="J26" s="126">
        <f t="shared" ref="J26:J29" si="5">F26*I26</f>
        <v>0</v>
      </c>
      <c r="M26" s="111"/>
      <c r="N26" s="131"/>
      <c r="O26" s="128"/>
      <c r="P26" s="129"/>
      <c r="Q26" s="129"/>
      <c r="R26" s="129"/>
      <c r="S26" s="129"/>
    </row>
    <row r="27" spans="1:19" ht="62.55" customHeight="1">
      <c r="B27" s="178" t="s">
        <v>437</v>
      </c>
      <c r="C27" s="192" t="str">
        <f ca="1">IFERROR(__xludf.DUMMYFUNCTION("""COMPUTED_VALUE"""),"5061011628367")</f>
        <v>5061011628367</v>
      </c>
      <c r="D27" s="187" t="s">
        <v>345</v>
      </c>
      <c r="E27" s="102" t="s">
        <v>168</v>
      </c>
      <c r="F27" s="109">
        <v>7.08</v>
      </c>
      <c r="G27" s="105">
        <v>17</v>
      </c>
      <c r="H27" s="204">
        <v>6</v>
      </c>
      <c r="I27" s="102"/>
      <c r="J27" s="126">
        <f t="shared" si="5"/>
        <v>0</v>
      </c>
      <c r="M27" s="111"/>
      <c r="N27" s="131"/>
      <c r="O27" s="128"/>
      <c r="P27" s="129"/>
      <c r="Q27" s="129"/>
      <c r="R27" s="129"/>
      <c r="S27" s="129"/>
    </row>
    <row r="28" spans="1:19" ht="17.7" customHeight="1">
      <c r="B28" s="178" t="s">
        <v>438</v>
      </c>
      <c r="C28" s="192" t="str">
        <f ca="1">IFERROR(__xludf.DUMMYFUNCTION("""COMPUTED_VALUE"""),"5061011628381")</f>
        <v>5061011628381</v>
      </c>
      <c r="D28" s="187" t="s">
        <v>345</v>
      </c>
      <c r="E28" s="102" t="s">
        <v>169</v>
      </c>
      <c r="F28" s="109">
        <v>14.58</v>
      </c>
      <c r="G28" s="105">
        <v>35</v>
      </c>
      <c r="H28" s="204">
        <v>6</v>
      </c>
      <c r="I28" s="102"/>
      <c r="J28" s="126">
        <f t="shared" si="5"/>
        <v>0</v>
      </c>
      <c r="M28" s="111"/>
      <c r="N28" s="131"/>
      <c r="O28" s="128"/>
      <c r="P28" s="129"/>
      <c r="Q28" s="129"/>
      <c r="R28" s="129"/>
      <c r="S28" s="129"/>
    </row>
    <row r="29" spans="1:19" ht="21" customHeight="1">
      <c r="B29" s="178" t="s">
        <v>439</v>
      </c>
      <c r="C29" s="192" t="str">
        <f ca="1">IFERROR(__xludf.DUMMYFUNCTION("""COMPUTED_VALUE"""),"5061011628404")</f>
        <v>5061011628404</v>
      </c>
      <c r="D29" s="187" t="s">
        <v>345</v>
      </c>
      <c r="E29" s="102" t="s">
        <v>170</v>
      </c>
      <c r="F29" s="103">
        <v>16.66</v>
      </c>
      <c r="G29" s="104">
        <v>40</v>
      </c>
      <c r="H29" s="204">
        <v>6</v>
      </c>
      <c r="I29" s="102"/>
      <c r="J29" s="126">
        <f t="shared" si="5"/>
        <v>0</v>
      </c>
      <c r="M29" s="111"/>
      <c r="N29" s="131"/>
      <c r="O29" s="128"/>
      <c r="P29" s="129"/>
      <c r="Q29" s="129"/>
      <c r="R29" s="129"/>
      <c r="S29" s="129"/>
    </row>
    <row r="30" spans="1:19" ht="76.2" customHeight="1">
      <c r="B30" s="178" t="s">
        <v>440</v>
      </c>
      <c r="C30" s="192" t="str">
        <f ca="1">IFERROR(__xludf.DUMMYFUNCTION("""COMPUTED_VALUE"""),"5061011628411")</f>
        <v>5061011628411</v>
      </c>
      <c r="D30" s="187" t="s">
        <v>420</v>
      </c>
      <c r="E30" s="102" t="s">
        <v>168</v>
      </c>
      <c r="F30" s="109">
        <v>7.08</v>
      </c>
      <c r="G30" s="105">
        <v>17</v>
      </c>
      <c r="H30" s="204">
        <v>6</v>
      </c>
      <c r="I30" s="102"/>
      <c r="J30" s="126">
        <f t="shared" ref="J30:J32" si="6">F30*I30</f>
        <v>0</v>
      </c>
      <c r="M30" s="111"/>
      <c r="N30" s="131"/>
      <c r="O30" s="128"/>
      <c r="P30" s="129"/>
      <c r="Q30" s="129"/>
      <c r="R30" s="129"/>
      <c r="S30" s="129"/>
    </row>
    <row r="31" spans="1:19" ht="19.2" customHeight="1">
      <c r="B31" s="178" t="s">
        <v>441</v>
      </c>
      <c r="C31" s="192" t="str">
        <f ca="1">IFERROR(__xludf.DUMMYFUNCTION("""COMPUTED_VALUE"""),"5061011628428")</f>
        <v>5061011628428</v>
      </c>
      <c r="D31" s="187" t="s">
        <v>420</v>
      </c>
      <c r="E31" s="102" t="s">
        <v>169</v>
      </c>
      <c r="F31" s="109">
        <v>14.58</v>
      </c>
      <c r="G31" s="105">
        <v>35</v>
      </c>
      <c r="H31" s="204">
        <v>6</v>
      </c>
      <c r="I31" s="102"/>
      <c r="J31" s="126">
        <f t="shared" si="6"/>
        <v>0</v>
      </c>
      <c r="M31" s="111"/>
      <c r="N31" s="131"/>
      <c r="O31" s="128"/>
      <c r="P31" s="129"/>
      <c r="Q31" s="129"/>
      <c r="R31" s="129"/>
      <c r="S31" s="129"/>
    </row>
    <row r="32" spans="1:19" ht="20.7" customHeight="1">
      <c r="B32" s="178" t="s">
        <v>442</v>
      </c>
      <c r="C32" s="192" t="str">
        <f ca="1">IFERROR(__xludf.DUMMYFUNCTION("""COMPUTED_VALUE"""),"5061011628435")</f>
        <v>5061011628435</v>
      </c>
      <c r="D32" s="187" t="s">
        <v>420</v>
      </c>
      <c r="E32" s="102" t="s">
        <v>170</v>
      </c>
      <c r="F32" s="103">
        <v>16.66</v>
      </c>
      <c r="G32" s="104">
        <v>40</v>
      </c>
      <c r="H32" s="204">
        <v>6</v>
      </c>
      <c r="I32" s="102"/>
      <c r="J32" s="126">
        <f t="shared" si="6"/>
        <v>0</v>
      </c>
      <c r="O32" s="128"/>
      <c r="P32" s="129"/>
      <c r="Q32" s="129"/>
      <c r="R32" s="129"/>
      <c r="S32" s="129"/>
    </row>
    <row r="33" spans="1:10" ht="33.450000000000003" customHeight="1">
      <c r="A33" s="135"/>
      <c r="B33" s="136" t="s">
        <v>344</v>
      </c>
      <c r="C33" s="193"/>
      <c r="D33" s="136"/>
      <c r="E33" s="137"/>
      <c r="F33" s="139"/>
      <c r="G33" s="140"/>
      <c r="H33" s="199"/>
      <c r="I33" s="137"/>
      <c r="J33" s="163"/>
    </row>
    <row r="34" spans="1:10" ht="117.45" customHeight="1">
      <c r="A34" s="134" t="e" vm="17">
        <v>#VALUE!</v>
      </c>
      <c r="B34" s="178" t="s">
        <v>346</v>
      </c>
      <c r="C34" s="114" t="str">
        <f ca="1">IFERROR(__xludf.DUMMYFUNCTION("""COMPUTED_VALUE"""),"5061011628763")</f>
        <v>5061011628763</v>
      </c>
      <c r="D34" s="187" t="s">
        <v>345</v>
      </c>
      <c r="E34" s="7"/>
      <c r="F34" s="79">
        <v>10.41</v>
      </c>
      <c r="G34" s="31">
        <v>25</v>
      </c>
      <c r="H34" s="204">
        <v>6</v>
      </c>
      <c r="I34" s="16"/>
      <c r="J34" s="150">
        <f t="shared" ref="J34:J35" si="7">I34*F34</f>
        <v>0</v>
      </c>
    </row>
    <row r="35" spans="1:10" ht="106.95" customHeight="1">
      <c r="A35" s="134" t="e" vm="18">
        <v>#VALUE!</v>
      </c>
      <c r="B35" s="178" t="s">
        <v>347</v>
      </c>
      <c r="C35" s="114" t="str">
        <f ca="1">IFERROR(__xludf.DUMMYFUNCTION("""COMPUTED_VALUE"""),"5061011628756")</f>
        <v>5061011628756</v>
      </c>
      <c r="D35" s="187" t="s">
        <v>336</v>
      </c>
      <c r="E35" s="7"/>
      <c r="F35" s="79">
        <v>10.41</v>
      </c>
      <c r="G35" s="31">
        <v>25</v>
      </c>
      <c r="H35" s="204">
        <v>6</v>
      </c>
      <c r="I35" s="16"/>
      <c r="J35" s="150">
        <f t="shared" si="7"/>
        <v>0</v>
      </c>
    </row>
    <row r="36" spans="1:10" ht="37.200000000000003" customHeight="1">
      <c r="A36" s="97"/>
      <c r="B36" s="98" t="s">
        <v>171</v>
      </c>
      <c r="C36" s="190"/>
      <c r="D36" s="98"/>
      <c r="E36" s="101"/>
      <c r="F36" s="100"/>
      <c r="G36" s="101"/>
      <c r="H36" s="203"/>
      <c r="I36" s="101"/>
      <c r="J36" s="130"/>
    </row>
    <row r="37" spans="1:10" ht="124.2" customHeight="1">
      <c r="A37" s="92" t="e" vm="19">
        <v>#VALUE!</v>
      </c>
      <c r="B37" s="178" t="s">
        <v>386</v>
      </c>
      <c r="C37" s="192" t="str">
        <f ca="1">IFERROR(__xludf.DUMMYFUNCTION("""COMPUTED_VALUE"""),"5061011625601")</f>
        <v>5061011625601</v>
      </c>
      <c r="D37" s="187" t="s">
        <v>377</v>
      </c>
      <c r="E37" s="102" t="s">
        <v>172</v>
      </c>
      <c r="F37" s="112">
        <v>5.83</v>
      </c>
      <c r="G37" s="113">
        <v>14</v>
      </c>
      <c r="H37" s="204">
        <v>6</v>
      </c>
      <c r="I37" s="102"/>
      <c r="J37" s="126">
        <f t="shared" ref="J37:J40" si="8">F37*I37</f>
        <v>0</v>
      </c>
    </row>
    <row r="38" spans="1:10" ht="124.2" customHeight="1">
      <c r="A38" s="92" t="e" vm="20">
        <v>#VALUE!</v>
      </c>
      <c r="B38" s="178" t="s">
        <v>387</v>
      </c>
      <c r="C38" s="192" t="str">
        <f ca="1">IFERROR(__xludf.DUMMYFUNCTION("""COMPUTED_VALUE"""),"5061011625892")</f>
        <v>5061011625892</v>
      </c>
      <c r="D38" s="187" t="s">
        <v>378</v>
      </c>
      <c r="E38" s="102" t="s">
        <v>172</v>
      </c>
      <c r="F38" s="112">
        <v>5.83</v>
      </c>
      <c r="G38" s="113">
        <v>14</v>
      </c>
      <c r="H38" s="204">
        <v>6</v>
      </c>
      <c r="I38" s="102"/>
      <c r="J38" s="126">
        <f t="shared" si="8"/>
        <v>0</v>
      </c>
    </row>
    <row r="39" spans="1:10" ht="124.2" customHeight="1">
      <c r="A39" s="92" t="e" vm="21">
        <v>#VALUE!</v>
      </c>
      <c r="B39" s="178" t="s">
        <v>388</v>
      </c>
      <c r="C39" s="192" t="str">
        <f ca="1">IFERROR(__xludf.DUMMYFUNCTION("""COMPUTED_VALUE"""),"5061011626103")</f>
        <v>5061011626103</v>
      </c>
      <c r="D39" s="187" t="s">
        <v>379</v>
      </c>
      <c r="E39" s="102" t="s">
        <v>172</v>
      </c>
      <c r="F39" s="112">
        <v>5.83</v>
      </c>
      <c r="G39" s="113">
        <v>14</v>
      </c>
      <c r="H39" s="204">
        <v>6</v>
      </c>
      <c r="I39" s="102"/>
      <c r="J39" s="126">
        <f t="shared" si="8"/>
        <v>0</v>
      </c>
    </row>
    <row r="40" spans="1:10" ht="124.2" customHeight="1">
      <c r="A40" s="92" t="e" vm="22">
        <v>#VALUE!</v>
      </c>
      <c r="B40" s="178" t="s">
        <v>389</v>
      </c>
      <c r="C40" s="192" t="str">
        <f ca="1">IFERROR(__xludf.DUMMYFUNCTION("""COMPUTED_VALUE"""),"5061011626509")</f>
        <v>5061011626509</v>
      </c>
      <c r="D40" s="187" t="s">
        <v>380</v>
      </c>
      <c r="E40" s="102" t="s">
        <v>172</v>
      </c>
      <c r="F40" s="112">
        <v>5.83</v>
      </c>
      <c r="G40" s="113">
        <v>14</v>
      </c>
      <c r="H40" s="204">
        <v>6</v>
      </c>
      <c r="I40" s="102"/>
      <c r="J40" s="126">
        <f t="shared" si="8"/>
        <v>0</v>
      </c>
    </row>
    <row r="41" spans="1:10" ht="124.2" customHeight="1">
      <c r="A41" s="92" t="e" vm="23">
        <v>#VALUE!</v>
      </c>
      <c r="B41" s="178" t="s">
        <v>390</v>
      </c>
      <c r="C41" s="192" t="str">
        <f ca="1">IFERROR(__xludf.DUMMYFUNCTION("""COMPUTED_VALUE"""),"5061011625632")</f>
        <v>5061011625632</v>
      </c>
      <c r="D41" s="187" t="s">
        <v>381</v>
      </c>
      <c r="E41" s="102" t="s">
        <v>172</v>
      </c>
      <c r="F41" s="112">
        <v>5.83</v>
      </c>
      <c r="G41" s="113">
        <v>14</v>
      </c>
      <c r="H41" s="204">
        <v>6</v>
      </c>
      <c r="I41" s="102"/>
      <c r="J41" s="126">
        <f t="shared" ref="J41" si="9">F41*I41</f>
        <v>0</v>
      </c>
    </row>
    <row r="42" spans="1:10" ht="124.2" customHeight="1">
      <c r="A42" s="92" t="e" vm="24">
        <v>#VALUE!</v>
      </c>
      <c r="B42" s="178" t="s">
        <v>391</v>
      </c>
      <c r="C42" s="192" t="str">
        <f ca="1">IFERROR(__xludf.DUMMYFUNCTION("""COMPUTED_VALUE"""),"5061011625908")</f>
        <v>5061011625908</v>
      </c>
      <c r="D42" s="187" t="s">
        <v>382</v>
      </c>
      <c r="E42" s="102" t="s">
        <v>172</v>
      </c>
      <c r="F42" s="112">
        <v>5.83</v>
      </c>
      <c r="G42" s="113">
        <v>14</v>
      </c>
      <c r="H42" s="204">
        <v>6</v>
      </c>
      <c r="I42" s="102"/>
      <c r="J42" s="126">
        <f t="shared" ref="J42" si="10">F42*I42</f>
        <v>0</v>
      </c>
    </row>
    <row r="43" spans="1:10" ht="124.2" customHeight="1">
      <c r="A43" s="92" t="e" vm="25">
        <v>#VALUE!</v>
      </c>
      <c r="B43" s="178" t="s">
        <v>392</v>
      </c>
      <c r="C43" s="192" t="str">
        <f ca="1">IFERROR(__xludf.DUMMYFUNCTION("""COMPUTED_VALUE"""),"5061011626097")</f>
        <v>5061011626097</v>
      </c>
      <c r="D43" s="187" t="s">
        <v>383</v>
      </c>
      <c r="E43" s="102" t="s">
        <v>172</v>
      </c>
      <c r="F43" s="112">
        <v>5.83</v>
      </c>
      <c r="G43" s="113">
        <v>14</v>
      </c>
      <c r="H43" s="204">
        <v>6</v>
      </c>
      <c r="I43" s="102"/>
      <c r="J43" s="126">
        <f t="shared" ref="J43" si="11">F43*I43</f>
        <v>0</v>
      </c>
    </row>
    <row r="44" spans="1:10" ht="124.2" customHeight="1">
      <c r="A44" s="92" t="e" vm="26">
        <v>#VALUE!</v>
      </c>
      <c r="B44" s="178" t="s">
        <v>393</v>
      </c>
      <c r="C44" s="192" t="str">
        <f ca="1">IFERROR(__xludf.DUMMYFUNCTION("""COMPUTED_VALUE"""),"5061011625625")</f>
        <v>5061011625625</v>
      </c>
      <c r="D44" s="187" t="s">
        <v>384</v>
      </c>
      <c r="E44" s="102" t="s">
        <v>172</v>
      </c>
      <c r="F44" s="112">
        <v>5.83</v>
      </c>
      <c r="G44" s="113">
        <v>14</v>
      </c>
      <c r="H44" s="204">
        <v>6</v>
      </c>
      <c r="I44" s="102"/>
      <c r="J44" s="126">
        <f t="shared" ref="J44" si="12">F44*I44</f>
        <v>0</v>
      </c>
    </row>
    <row r="45" spans="1:10" ht="124.2" customHeight="1">
      <c r="A45" s="92" t="e" vm="27">
        <v>#VALUE!</v>
      </c>
      <c r="B45" s="178" t="s">
        <v>394</v>
      </c>
      <c r="C45" s="192" t="str">
        <f ca="1">IFERROR(__xludf.DUMMYFUNCTION("""COMPUTED_VALUE"""),"5061011628572")</f>
        <v>5061011628572</v>
      </c>
      <c r="D45" s="187" t="s">
        <v>385</v>
      </c>
      <c r="E45" s="102" t="s">
        <v>172</v>
      </c>
      <c r="F45" s="112">
        <v>5.83</v>
      </c>
      <c r="G45" s="113">
        <v>14</v>
      </c>
      <c r="H45" s="204">
        <v>6</v>
      </c>
      <c r="I45" s="102"/>
      <c r="J45" s="126">
        <f t="shared" ref="J45:J48" si="13">F45*I45</f>
        <v>0</v>
      </c>
    </row>
    <row r="46" spans="1:10" ht="124.2" customHeight="1">
      <c r="A46" s="92" t="e" vm="28">
        <v>#VALUE!</v>
      </c>
      <c r="B46" s="178" t="s">
        <v>401</v>
      </c>
      <c r="C46" s="192" t="str">
        <f ca="1">IFERROR(__xludf.DUMMYFUNCTION("""COMPUTED_VALUE"""),"5061011625830")</f>
        <v>5061011625830</v>
      </c>
      <c r="D46" s="187" t="s">
        <v>395</v>
      </c>
      <c r="E46" s="102" t="s">
        <v>172</v>
      </c>
      <c r="F46" s="112">
        <v>5.83</v>
      </c>
      <c r="G46" s="113">
        <v>14</v>
      </c>
      <c r="H46" s="204">
        <v>6</v>
      </c>
      <c r="I46" s="102"/>
      <c r="J46" s="126">
        <f t="shared" si="13"/>
        <v>0</v>
      </c>
    </row>
    <row r="47" spans="1:10" ht="124.2" customHeight="1">
      <c r="A47" s="92" t="e" vm="29">
        <v>#VALUE!</v>
      </c>
      <c r="B47" s="178" t="s">
        <v>402</v>
      </c>
      <c r="C47" s="192" t="str">
        <f ca="1">IFERROR(__xludf.DUMMYFUNCTION("""COMPUTED_VALUE"""),"5061011628558")</f>
        <v>5061011628558</v>
      </c>
      <c r="D47" s="187" t="s">
        <v>396</v>
      </c>
      <c r="E47" s="102" t="s">
        <v>172</v>
      </c>
      <c r="F47" s="112">
        <v>5.83</v>
      </c>
      <c r="G47" s="113">
        <v>14</v>
      </c>
      <c r="H47" s="204">
        <v>6</v>
      </c>
      <c r="I47" s="102"/>
      <c r="J47" s="126">
        <f t="shared" si="13"/>
        <v>0</v>
      </c>
    </row>
    <row r="48" spans="1:10" ht="124.2" customHeight="1">
      <c r="A48" s="92" t="e" vm="30">
        <v>#VALUE!</v>
      </c>
      <c r="B48" s="178" t="s">
        <v>403</v>
      </c>
      <c r="C48" s="192" t="str">
        <f ca="1">IFERROR(__xludf.DUMMYFUNCTION("""COMPUTED_VALUE"""),"5061011628565")</f>
        <v>5061011628565</v>
      </c>
      <c r="D48" s="187" t="s">
        <v>397</v>
      </c>
      <c r="E48" s="102" t="s">
        <v>172</v>
      </c>
      <c r="F48" s="112">
        <v>5.83</v>
      </c>
      <c r="G48" s="113">
        <v>14</v>
      </c>
      <c r="H48" s="204">
        <v>6</v>
      </c>
      <c r="I48" s="102"/>
      <c r="J48" s="126">
        <f t="shared" si="13"/>
        <v>0</v>
      </c>
    </row>
    <row r="49" spans="1:14" ht="124.2" customHeight="1">
      <c r="A49" s="92" t="e" vm="31">
        <v>#VALUE!</v>
      </c>
      <c r="B49" s="178" t="s">
        <v>404</v>
      </c>
      <c r="C49" s="192" t="str">
        <f ca="1">IFERROR(__xludf.DUMMYFUNCTION("""COMPUTED_VALUE"""),"5061011628589")</f>
        <v>5061011628589</v>
      </c>
      <c r="D49" s="187" t="s">
        <v>398</v>
      </c>
      <c r="E49" s="102" t="s">
        <v>172</v>
      </c>
      <c r="F49" s="112">
        <v>5.83</v>
      </c>
      <c r="G49" s="113">
        <v>14</v>
      </c>
      <c r="H49" s="204">
        <v>6</v>
      </c>
      <c r="I49" s="102"/>
      <c r="J49" s="126">
        <f t="shared" ref="J49:J50" si="14">F49*I49</f>
        <v>0</v>
      </c>
    </row>
    <row r="50" spans="1:14" ht="106.2" customHeight="1">
      <c r="A50" s="92" t="e" vm="32">
        <v>#VALUE!</v>
      </c>
      <c r="B50" s="178" t="s">
        <v>405</v>
      </c>
      <c r="C50" s="192" t="str">
        <f ca="1">IFERROR(__xludf.DUMMYFUNCTION("""COMPUTED_VALUE"""),"5061011628602")</f>
        <v>5061011628602</v>
      </c>
      <c r="D50" s="187" t="s">
        <v>399</v>
      </c>
      <c r="E50" s="102" t="s">
        <v>172</v>
      </c>
      <c r="F50" s="112">
        <v>5.83</v>
      </c>
      <c r="G50" s="113">
        <v>14</v>
      </c>
      <c r="H50" s="204">
        <v>6</v>
      </c>
      <c r="I50" s="102"/>
      <c r="J50" s="126">
        <f t="shared" si="14"/>
        <v>0</v>
      </c>
    </row>
    <row r="51" spans="1:14" ht="112.2" customHeight="1">
      <c r="A51" s="92" t="e" vm="33">
        <v>#VALUE!</v>
      </c>
      <c r="B51" s="178" t="s">
        <v>406</v>
      </c>
      <c r="C51" s="192" t="str">
        <f ca="1">IFERROR(__xludf.DUMMYFUNCTION("""COMPUTED_VALUE"""),"5061011628619")</f>
        <v>5061011628619</v>
      </c>
      <c r="D51" s="187" t="s">
        <v>400</v>
      </c>
      <c r="E51" s="102" t="s">
        <v>172</v>
      </c>
      <c r="F51" s="112">
        <v>5.83</v>
      </c>
      <c r="G51" s="113">
        <v>14</v>
      </c>
      <c r="H51" s="204">
        <v>6</v>
      </c>
      <c r="I51" s="102"/>
      <c r="J51" s="126">
        <f t="shared" ref="J51" si="15">F51*I51</f>
        <v>0</v>
      </c>
      <c r="M51" s="93"/>
      <c r="N51" s="93"/>
    </row>
    <row r="52" spans="1:14" ht="109.95" customHeight="1">
      <c r="A52" s="92" t="e" vm="34">
        <v>#VALUE!</v>
      </c>
      <c r="B52" s="178" t="s">
        <v>407</v>
      </c>
      <c r="C52" s="192" t="str">
        <f ca="1">IFERROR(__xludf.DUMMYFUNCTION("""COMPUTED_VALUE"""),"5061011628626")</f>
        <v>5061011628626</v>
      </c>
      <c r="D52" s="187" t="s">
        <v>322</v>
      </c>
      <c r="E52" s="102" t="s">
        <v>172</v>
      </c>
      <c r="F52" s="112">
        <v>5.83</v>
      </c>
      <c r="G52" s="113">
        <v>14</v>
      </c>
      <c r="H52" s="204">
        <v>6</v>
      </c>
      <c r="I52" s="102"/>
      <c r="J52" s="126">
        <f t="shared" ref="J52" si="16">F52*I52</f>
        <v>0</v>
      </c>
      <c r="M52" s="93"/>
      <c r="N52" s="93"/>
    </row>
    <row r="53" spans="1:14" ht="28.8">
      <c r="A53" s="115" t="s">
        <v>7</v>
      </c>
      <c r="B53" s="116"/>
      <c r="C53" s="117"/>
      <c r="D53" s="116"/>
      <c r="E53" s="116"/>
      <c r="F53" s="118"/>
      <c r="G53" s="119"/>
      <c r="H53" s="119"/>
      <c r="I53" s="116"/>
      <c r="J53" s="132">
        <f>SUM(J3:J52)</f>
        <v>0</v>
      </c>
    </row>
    <row r="54" spans="1:14">
      <c r="D54" s="120"/>
      <c r="E54" s="64"/>
      <c r="F54" s="121"/>
      <c r="G54" s="64"/>
    </row>
    <row r="55" spans="1:14">
      <c r="D55" s="120"/>
      <c r="E55" s="64"/>
      <c r="F55" s="121"/>
      <c r="G55" s="64"/>
    </row>
    <row r="56" spans="1:14">
      <c r="D56" s="120"/>
      <c r="E56" s="64"/>
      <c r="F56" s="121"/>
      <c r="G56" s="64"/>
    </row>
    <row r="57" spans="1:14">
      <c r="D57" s="120"/>
      <c r="E57" s="64"/>
      <c r="F57" s="121"/>
      <c r="G57" s="64"/>
    </row>
    <row r="58" spans="1:14">
      <c r="D58" s="120"/>
      <c r="E58" s="64"/>
      <c r="F58" s="121"/>
      <c r="G58" s="64"/>
    </row>
    <row r="59" spans="1:14">
      <c r="D59" s="120"/>
      <c r="E59" s="64"/>
      <c r="F59" s="121"/>
      <c r="G59" s="64"/>
      <c r="M59" s="93"/>
      <c r="N59" s="93"/>
    </row>
    <row r="60" spans="1:14">
      <c r="D60" s="120"/>
      <c r="E60" s="64"/>
      <c r="F60" s="121"/>
      <c r="G60" s="64"/>
    </row>
    <row r="61" spans="1:14">
      <c r="D61" s="120"/>
      <c r="E61" s="64"/>
      <c r="F61" s="121"/>
      <c r="G61" s="64"/>
    </row>
    <row r="62" spans="1:14">
      <c r="D62" s="120"/>
      <c r="E62" s="64"/>
      <c r="F62" s="121"/>
      <c r="G62" s="64"/>
    </row>
    <row r="63" spans="1:14">
      <c r="D63" s="120"/>
      <c r="E63" s="64"/>
      <c r="F63" s="121"/>
      <c r="G63" s="64"/>
    </row>
    <row r="64" spans="1:14">
      <c r="D64" s="120"/>
      <c r="E64" s="64"/>
      <c r="F64" s="121"/>
      <c r="G64" s="64"/>
    </row>
    <row r="65" spans="4:7">
      <c r="D65" s="120"/>
      <c r="E65" s="64"/>
      <c r="F65" s="121"/>
      <c r="G65" s="64"/>
    </row>
    <row r="66" spans="4:7">
      <c r="D66" s="120"/>
      <c r="E66" s="64"/>
      <c r="F66" s="121"/>
      <c r="G66" s="64"/>
    </row>
    <row r="67" spans="4:7">
      <c r="D67" s="120"/>
      <c r="E67" s="64"/>
      <c r="F67" s="121"/>
      <c r="G67" s="64"/>
    </row>
    <row r="68" spans="4:7">
      <c r="D68" s="120"/>
      <c r="E68" s="64"/>
      <c r="F68" s="121"/>
      <c r="G68" s="64"/>
    </row>
    <row r="69" spans="4:7">
      <c r="D69" s="120"/>
      <c r="E69" s="64"/>
      <c r="F69" s="121"/>
      <c r="G69" s="64"/>
    </row>
  </sheetData>
  <conditionalFormatting sqref="C15:C16 C22">
    <cfRule type="expression" dxfId="10" priority="4">
      <formula>AND($F15&amp;$G15&lt;&gt;$F14&amp;$G14)</formula>
    </cfRule>
  </conditionalFormatting>
  <conditionalFormatting sqref="C39">
    <cfRule type="expression" dxfId="9" priority="3">
      <formula>AND($F39&amp;$G39&lt;&gt;$F38&amp;$G38)</formula>
    </cfRule>
  </conditionalFormatting>
  <conditionalFormatting sqref="C41">
    <cfRule type="expression" dxfId="8" priority="2">
      <formula>AND($F41&amp;$G41&lt;&gt;$F40&amp;$G40)</formula>
    </cfRule>
  </conditionalFormatting>
  <conditionalFormatting sqref="C43:C45 C47:C52">
    <cfRule type="expression" dxfId="7" priority="1">
      <formula>AND($F43&amp;$G43&lt;&gt;$F42&amp;$G42)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2"/>
  <sheetViews>
    <sheetView topLeftCell="A34" zoomScale="66" zoomScaleNormal="66" workbookViewId="0">
      <selection activeCell="J43" sqref="J43"/>
    </sheetView>
  </sheetViews>
  <sheetFormatPr baseColWidth="10" defaultColWidth="10.77734375" defaultRowHeight="18"/>
  <cols>
    <col min="1" max="1" width="20.5546875" style="64" customWidth="1"/>
    <col min="2" max="2" width="37.5546875" style="64" customWidth="1"/>
    <col min="3" max="3" width="23" style="65" customWidth="1"/>
    <col min="4" max="4" width="29.21875" style="94" customWidth="1"/>
    <col min="5" max="5" width="24.21875" style="66" customWidth="1"/>
    <col min="6" max="6" width="10.77734375" style="66"/>
    <col min="7" max="7" width="13" style="67" customWidth="1"/>
    <col min="8" max="8" width="19.5546875" style="209" customWidth="1"/>
    <col min="9" max="9" width="17.44140625" style="64" customWidth="1"/>
    <col min="10" max="10" width="15" style="64" bestFit="1" customWidth="1"/>
    <col min="11" max="11" width="10.77734375" style="68"/>
    <col min="12" max="12" width="2.5546875" style="68" customWidth="1"/>
    <col min="13" max="13" width="10.77734375" style="68"/>
    <col min="14" max="14" width="17.21875" style="68" customWidth="1"/>
    <col min="15" max="16" width="10.77734375" style="68"/>
    <col min="17" max="17" width="22.77734375" style="68" customWidth="1"/>
    <col min="18" max="18" width="31.21875" style="68" customWidth="1"/>
    <col min="19" max="19" width="27.21875" style="68" customWidth="1"/>
    <col min="20" max="20" width="20.77734375" style="68" customWidth="1"/>
    <col min="21" max="21" width="23" style="68" customWidth="1"/>
    <col min="22" max="16384" width="10.77734375" style="68"/>
  </cols>
  <sheetData>
    <row r="1" spans="1:21">
      <c r="B1" s="10" t="s">
        <v>162</v>
      </c>
      <c r="C1" s="69" t="s">
        <v>1</v>
      </c>
      <c r="D1" s="10" t="s">
        <v>2</v>
      </c>
      <c r="E1" s="10" t="s">
        <v>3</v>
      </c>
      <c r="F1" s="10" t="s">
        <v>4</v>
      </c>
      <c r="G1" s="8" t="s">
        <v>5</v>
      </c>
      <c r="H1" s="206" t="s">
        <v>470</v>
      </c>
      <c r="I1" s="10" t="s">
        <v>6</v>
      </c>
      <c r="J1" s="10" t="s">
        <v>163</v>
      </c>
    </row>
    <row r="2" spans="1:21" s="63" customFormat="1">
      <c r="A2" s="70"/>
      <c r="B2" s="71" t="s">
        <v>173</v>
      </c>
      <c r="C2" s="72"/>
      <c r="D2" s="71"/>
      <c r="E2" s="71"/>
      <c r="F2" s="71"/>
      <c r="G2" s="73"/>
      <c r="H2" s="207"/>
      <c r="I2" s="74"/>
      <c r="J2" s="74"/>
      <c r="M2" s="30"/>
      <c r="N2" s="30"/>
    </row>
    <row r="3" spans="1:21" s="63" customFormat="1" ht="101.7" customHeight="1">
      <c r="A3" s="75"/>
      <c r="B3" s="178" t="s">
        <v>296</v>
      </c>
      <c r="C3" s="66" t="str">
        <f ca="1">IFERROR(__xludf.DUMMYFUNCTION("""COMPUTED_VALUE"""),"5061011626226")</f>
        <v>5061011626226</v>
      </c>
      <c r="D3" s="187" t="s">
        <v>295</v>
      </c>
      <c r="E3" s="16" t="s">
        <v>174</v>
      </c>
      <c r="F3" s="18">
        <v>12.5</v>
      </c>
      <c r="G3" s="17">
        <v>30</v>
      </c>
      <c r="H3" s="206">
        <v>6</v>
      </c>
      <c r="I3" s="16"/>
      <c r="J3" s="31">
        <f>F3*I3</f>
        <v>0</v>
      </c>
      <c r="M3" s="30"/>
      <c r="N3" s="30"/>
    </row>
    <row r="4" spans="1:21" ht="19.5" customHeight="1">
      <c r="A4" s="75"/>
      <c r="B4" s="178" t="s">
        <v>305</v>
      </c>
      <c r="C4" s="66" t="str">
        <f ca="1">IFERROR(__xludf.DUMMYFUNCTION("""COMPUTED_VALUE"""),"5061011626233")</f>
        <v>5061011626233</v>
      </c>
      <c r="D4" s="187" t="s">
        <v>295</v>
      </c>
      <c r="E4" s="7" t="s">
        <v>13</v>
      </c>
      <c r="F4" s="18">
        <v>14.16</v>
      </c>
      <c r="G4" s="17">
        <v>34</v>
      </c>
      <c r="H4" s="206">
        <v>6</v>
      </c>
      <c r="I4" s="7"/>
      <c r="J4" s="31">
        <f t="shared" ref="J4:J33" si="0">F4*I4</f>
        <v>0</v>
      </c>
      <c r="M4" s="29"/>
      <c r="N4" s="29"/>
    </row>
    <row r="5" spans="1:21" ht="112.2" customHeight="1">
      <c r="A5" s="75"/>
      <c r="B5" s="178" t="s">
        <v>298</v>
      </c>
      <c r="C5" s="66" t="str">
        <f ca="1">IFERROR(__xludf.DUMMYFUNCTION("""COMPUTED_VALUE"""),"5061011625502")</f>
        <v>5061011625502</v>
      </c>
      <c r="D5" s="187" t="s">
        <v>297</v>
      </c>
      <c r="E5" s="16" t="s">
        <v>174</v>
      </c>
      <c r="F5" s="18">
        <v>12.5</v>
      </c>
      <c r="G5" s="17">
        <v>30</v>
      </c>
      <c r="H5" s="206">
        <v>6</v>
      </c>
      <c r="I5" s="7"/>
      <c r="J5" s="31">
        <f t="shared" si="0"/>
        <v>0</v>
      </c>
      <c r="Q5" s="89"/>
      <c r="R5" s="92"/>
      <c r="S5" s="92"/>
      <c r="T5" s="92"/>
      <c r="U5" s="92"/>
    </row>
    <row r="6" spans="1:21" ht="19.5" customHeight="1">
      <c r="A6" s="75"/>
      <c r="B6" s="178" t="s">
        <v>306</v>
      </c>
      <c r="C6" s="66" t="str">
        <f ca="1">IFERROR(__xludf.DUMMYFUNCTION("""COMPUTED_VALUE"""),"5061011625540")</f>
        <v>5061011625540</v>
      </c>
      <c r="D6" s="187" t="s">
        <v>297</v>
      </c>
      <c r="E6" s="7" t="s">
        <v>13</v>
      </c>
      <c r="F6" s="18">
        <v>14.16</v>
      </c>
      <c r="G6" s="17">
        <v>34</v>
      </c>
      <c r="H6" s="206">
        <v>6</v>
      </c>
      <c r="I6" s="7"/>
      <c r="J6" s="31">
        <f t="shared" si="0"/>
        <v>0</v>
      </c>
      <c r="Q6" s="89"/>
      <c r="R6" s="92"/>
      <c r="S6" s="92"/>
      <c r="T6" s="92"/>
      <c r="U6" s="92"/>
    </row>
    <row r="7" spans="1:21" ht="97.5" customHeight="1">
      <c r="A7" s="75"/>
      <c r="B7" s="178" t="s">
        <v>300</v>
      </c>
      <c r="C7" s="66" t="str">
        <f ca="1">IFERROR(__xludf.DUMMYFUNCTION("""COMPUTED_VALUE"""),"5061011625519")</f>
        <v>5061011625519</v>
      </c>
      <c r="D7" s="187" t="s">
        <v>299</v>
      </c>
      <c r="E7" s="16" t="s">
        <v>174</v>
      </c>
      <c r="F7" s="18">
        <v>12.5</v>
      </c>
      <c r="G7" s="17">
        <v>30</v>
      </c>
      <c r="H7" s="206">
        <v>6</v>
      </c>
      <c r="I7" s="7"/>
      <c r="J7" s="31">
        <f t="shared" si="0"/>
        <v>0</v>
      </c>
      <c r="Q7" s="89"/>
      <c r="R7" s="92"/>
      <c r="S7" s="92"/>
      <c r="T7" s="92"/>
      <c r="U7" s="92"/>
    </row>
    <row r="8" spans="1:21" ht="16.5" customHeight="1">
      <c r="A8" s="75"/>
      <c r="B8" s="178" t="s">
        <v>307</v>
      </c>
      <c r="C8" s="66" t="str">
        <f ca="1">IFERROR(__xludf.DUMMYFUNCTION("""COMPUTED_VALUE"""),"5061011625557")</f>
        <v>5061011625557</v>
      </c>
      <c r="D8" s="187" t="s">
        <v>299</v>
      </c>
      <c r="E8" s="7" t="s">
        <v>13</v>
      </c>
      <c r="F8" s="18">
        <v>14.16</v>
      </c>
      <c r="G8" s="17">
        <v>34</v>
      </c>
      <c r="H8" s="206">
        <v>6</v>
      </c>
      <c r="I8" s="7"/>
      <c r="J8" s="31">
        <f t="shared" si="0"/>
        <v>0</v>
      </c>
      <c r="Q8" s="89"/>
      <c r="R8" s="92"/>
      <c r="S8" s="92"/>
      <c r="T8" s="92"/>
      <c r="U8" s="92"/>
    </row>
    <row r="9" spans="1:21" ht="96" customHeight="1">
      <c r="A9" s="75"/>
      <c r="B9" s="178" t="s">
        <v>302</v>
      </c>
      <c r="C9" s="66" t="str">
        <f ca="1">IFERROR(__xludf.DUMMYFUNCTION("""COMPUTED_VALUE"""),"5061011625526")</f>
        <v>5061011625526</v>
      </c>
      <c r="D9" s="187" t="s">
        <v>301</v>
      </c>
      <c r="E9" s="16" t="s">
        <v>174</v>
      </c>
      <c r="F9" s="18">
        <v>12.5</v>
      </c>
      <c r="G9" s="17">
        <v>30</v>
      </c>
      <c r="H9" s="206">
        <v>6</v>
      </c>
      <c r="I9" s="7"/>
      <c r="J9" s="31">
        <f t="shared" si="0"/>
        <v>0</v>
      </c>
      <c r="Q9" s="89"/>
      <c r="R9" s="92"/>
      <c r="S9" s="92"/>
      <c r="T9" s="92"/>
      <c r="U9" s="92"/>
    </row>
    <row r="10" spans="1:21">
      <c r="A10" s="75"/>
      <c r="B10" s="178" t="s">
        <v>308</v>
      </c>
      <c r="C10" s="66" t="str">
        <f ca="1">IFERROR(__xludf.DUMMYFUNCTION("""COMPUTED_VALUE"""),"5061011625564")</f>
        <v>5061011625564</v>
      </c>
      <c r="D10" s="187" t="s">
        <v>301</v>
      </c>
      <c r="E10" s="7" t="s">
        <v>13</v>
      </c>
      <c r="F10" s="18">
        <v>14.16</v>
      </c>
      <c r="G10" s="17">
        <v>34</v>
      </c>
      <c r="H10" s="206">
        <v>6</v>
      </c>
      <c r="I10" s="7"/>
      <c r="J10" s="31">
        <f t="shared" si="0"/>
        <v>0</v>
      </c>
      <c r="Q10" s="89"/>
      <c r="R10" s="92"/>
      <c r="S10" s="92"/>
      <c r="T10" s="92"/>
      <c r="U10" s="92"/>
    </row>
    <row r="11" spans="1:21" ht="95.7" customHeight="1">
      <c r="A11" s="75"/>
      <c r="B11" s="178" t="s">
        <v>304</v>
      </c>
      <c r="C11" s="66" t="str">
        <f ca="1">IFERROR(__xludf.DUMMYFUNCTION("""COMPUTED_VALUE"""),"5061011625496")</f>
        <v>5061011625496</v>
      </c>
      <c r="D11" s="187" t="s">
        <v>303</v>
      </c>
      <c r="E11" s="16" t="s">
        <v>174</v>
      </c>
      <c r="F11" s="18">
        <v>12.5</v>
      </c>
      <c r="G11" s="17">
        <v>30</v>
      </c>
      <c r="H11" s="206">
        <v>6</v>
      </c>
      <c r="I11" s="7"/>
      <c r="J11" s="31">
        <f t="shared" ref="J11:J12" si="1">F11*I11</f>
        <v>0</v>
      </c>
      <c r="Q11" s="89"/>
      <c r="R11" s="92"/>
      <c r="S11" s="92"/>
      <c r="T11" s="92"/>
      <c r="U11" s="92"/>
    </row>
    <row r="12" spans="1:21">
      <c r="A12" s="75"/>
      <c r="B12" s="178" t="s">
        <v>309</v>
      </c>
      <c r="C12" s="66" t="str">
        <f ca="1">IFERROR(__xludf.DUMMYFUNCTION("""COMPUTED_VALUE"""),"5061011625533")</f>
        <v>5061011625533</v>
      </c>
      <c r="D12" s="187" t="s">
        <v>303</v>
      </c>
      <c r="E12" s="7" t="s">
        <v>13</v>
      </c>
      <c r="F12" s="18">
        <v>14.16</v>
      </c>
      <c r="G12" s="17">
        <v>34</v>
      </c>
      <c r="H12" s="206">
        <v>6</v>
      </c>
      <c r="I12" s="7"/>
      <c r="J12" s="31">
        <f t="shared" si="1"/>
        <v>0</v>
      </c>
      <c r="Q12" s="89"/>
      <c r="R12" s="92"/>
      <c r="S12" s="92"/>
      <c r="T12" s="92"/>
      <c r="U12" s="92"/>
    </row>
    <row r="13" spans="1:21" s="30" customFormat="1" ht="66" customHeight="1">
      <c r="A13" s="75"/>
      <c r="B13" s="16" t="s">
        <v>175</v>
      </c>
      <c r="C13" s="77" t="s">
        <v>176</v>
      </c>
      <c r="D13" s="138" t="s">
        <v>177</v>
      </c>
      <c r="E13" s="16" t="s">
        <v>174</v>
      </c>
      <c r="F13" s="18">
        <v>12.5</v>
      </c>
      <c r="G13" s="17">
        <v>30</v>
      </c>
      <c r="H13" s="206">
        <v>6</v>
      </c>
      <c r="I13" s="7"/>
      <c r="J13" s="31">
        <f t="shared" ref="J13:J14" si="2">F13*I13</f>
        <v>0</v>
      </c>
      <c r="Q13" s="89"/>
      <c r="R13" s="92"/>
      <c r="S13" s="92"/>
      <c r="T13" s="92"/>
      <c r="U13" s="92"/>
    </row>
    <row r="14" spans="1:21">
      <c r="A14" s="78"/>
      <c r="B14" s="16" t="s">
        <v>97</v>
      </c>
      <c r="C14" s="77" t="s">
        <v>98</v>
      </c>
      <c r="D14" s="138" t="s">
        <v>178</v>
      </c>
      <c r="E14" s="7" t="s">
        <v>13</v>
      </c>
      <c r="F14" s="18">
        <v>14.16</v>
      </c>
      <c r="G14" s="17">
        <v>34</v>
      </c>
      <c r="H14" s="206">
        <v>6</v>
      </c>
      <c r="I14" s="7"/>
      <c r="J14" s="31">
        <f t="shared" si="2"/>
        <v>0</v>
      </c>
      <c r="Q14" s="89"/>
      <c r="R14" s="92"/>
      <c r="S14" s="92"/>
      <c r="T14" s="92"/>
      <c r="U14" s="92"/>
    </row>
    <row r="15" spans="1:21">
      <c r="B15" s="16" t="s">
        <v>482</v>
      </c>
      <c r="C15" s="77">
        <v>5060668835593</v>
      </c>
      <c r="D15" s="138" t="s">
        <v>28</v>
      </c>
      <c r="E15" s="16" t="s">
        <v>174</v>
      </c>
      <c r="F15" s="31">
        <v>10.83</v>
      </c>
      <c r="G15" s="79">
        <v>26</v>
      </c>
      <c r="H15" s="206">
        <v>6</v>
      </c>
      <c r="I15" s="80"/>
      <c r="J15" s="31">
        <f t="shared" si="0"/>
        <v>0</v>
      </c>
    </row>
    <row r="16" spans="1:21">
      <c r="B16" s="16" t="s">
        <v>26</v>
      </c>
      <c r="C16" s="77" t="s">
        <v>27</v>
      </c>
      <c r="D16" s="138" t="s">
        <v>28</v>
      </c>
      <c r="E16" s="7" t="s">
        <v>13</v>
      </c>
      <c r="F16" s="18">
        <v>12.5</v>
      </c>
      <c r="G16" s="17">
        <v>30</v>
      </c>
      <c r="H16" s="206">
        <v>6</v>
      </c>
      <c r="I16" s="7"/>
      <c r="J16" s="31">
        <f t="shared" si="0"/>
        <v>0</v>
      </c>
    </row>
    <row r="17" spans="1:21" ht="90" customHeight="1">
      <c r="B17" s="16" t="s">
        <v>481</v>
      </c>
      <c r="C17" s="77">
        <v>5060668835562</v>
      </c>
      <c r="D17" s="138" t="s">
        <v>55</v>
      </c>
      <c r="E17" s="16" t="s">
        <v>174</v>
      </c>
      <c r="F17" s="31">
        <v>10.83</v>
      </c>
      <c r="G17" s="79">
        <v>26</v>
      </c>
      <c r="H17" s="206">
        <v>6</v>
      </c>
      <c r="I17" s="7"/>
      <c r="J17" s="31">
        <f t="shared" si="0"/>
        <v>0</v>
      </c>
    </row>
    <row r="18" spans="1:21" ht="34.200000000000003" customHeight="1">
      <c r="B18" s="16" t="s">
        <v>53</v>
      </c>
      <c r="C18" s="77" t="s">
        <v>54</v>
      </c>
      <c r="D18" s="138" t="s">
        <v>55</v>
      </c>
      <c r="E18" s="7" t="s">
        <v>13</v>
      </c>
      <c r="F18" s="18">
        <v>12.5</v>
      </c>
      <c r="G18" s="17">
        <v>30</v>
      </c>
      <c r="H18" s="206">
        <v>6</v>
      </c>
      <c r="I18" s="7"/>
      <c r="J18" s="31">
        <f t="shared" si="0"/>
        <v>0</v>
      </c>
    </row>
    <row r="19" spans="1:21" ht="94.2" customHeight="1">
      <c r="B19" s="16" t="s">
        <v>483</v>
      </c>
      <c r="C19" s="77">
        <v>5060668835586</v>
      </c>
      <c r="D19" s="138" t="s">
        <v>65</v>
      </c>
      <c r="E19" s="16" t="s">
        <v>174</v>
      </c>
      <c r="F19" s="31">
        <v>10.83</v>
      </c>
      <c r="G19" s="79">
        <v>26</v>
      </c>
      <c r="H19" s="206">
        <v>6</v>
      </c>
      <c r="I19" s="7"/>
      <c r="J19" s="31">
        <f t="shared" si="0"/>
        <v>0</v>
      </c>
    </row>
    <row r="20" spans="1:21">
      <c r="B20" s="16" t="s">
        <v>63</v>
      </c>
      <c r="C20" s="77" t="s">
        <v>64</v>
      </c>
      <c r="D20" s="138" t="s">
        <v>65</v>
      </c>
      <c r="E20" s="7" t="s">
        <v>13</v>
      </c>
      <c r="F20" s="18">
        <v>12.5</v>
      </c>
      <c r="G20" s="17">
        <v>30</v>
      </c>
      <c r="H20" s="206">
        <v>6</v>
      </c>
      <c r="I20" s="7"/>
      <c r="J20" s="31">
        <f t="shared" si="0"/>
        <v>0</v>
      </c>
    </row>
    <row r="21" spans="1:21">
      <c r="A21" s="70"/>
      <c r="B21" s="71" t="s">
        <v>179</v>
      </c>
      <c r="C21" s="72"/>
      <c r="D21" s="71"/>
      <c r="E21" s="71"/>
      <c r="F21" s="81"/>
      <c r="G21" s="82"/>
      <c r="H21" s="206"/>
      <c r="I21" s="74"/>
      <c r="J21" s="90"/>
    </row>
    <row r="22" spans="1:21" ht="109.95" customHeight="1">
      <c r="B22" s="83" t="s">
        <v>180</v>
      </c>
      <c r="C22" s="77" t="s">
        <v>181</v>
      </c>
      <c r="D22" s="138" t="s">
        <v>128</v>
      </c>
      <c r="E22" s="16" t="s">
        <v>182</v>
      </c>
      <c r="F22" s="31">
        <v>11.66</v>
      </c>
      <c r="G22" s="79">
        <v>28</v>
      </c>
      <c r="H22" s="206">
        <v>6</v>
      </c>
      <c r="I22" s="16"/>
      <c r="J22" s="31">
        <f t="shared" si="0"/>
        <v>0</v>
      </c>
    </row>
    <row r="23" spans="1:21">
      <c r="B23" s="83" t="s">
        <v>484</v>
      </c>
      <c r="C23" s="77">
        <v>506011621672</v>
      </c>
      <c r="D23" s="138" t="s">
        <v>128</v>
      </c>
      <c r="E23" s="16" t="s">
        <v>183</v>
      </c>
      <c r="F23" s="31">
        <v>11.66</v>
      </c>
      <c r="G23" s="79">
        <v>28</v>
      </c>
      <c r="H23" s="206">
        <v>6</v>
      </c>
      <c r="I23" s="16"/>
      <c r="J23" s="31">
        <f t="shared" si="0"/>
        <v>0</v>
      </c>
    </row>
    <row r="24" spans="1:21" ht="108.45" customHeight="1">
      <c r="B24" s="83" t="s">
        <v>184</v>
      </c>
      <c r="C24" s="77" t="s">
        <v>185</v>
      </c>
      <c r="D24" s="138" t="s">
        <v>107</v>
      </c>
      <c r="E24" s="16" t="s">
        <v>182</v>
      </c>
      <c r="F24" s="31">
        <v>11.66</v>
      </c>
      <c r="G24" s="79">
        <v>28</v>
      </c>
      <c r="H24" s="206">
        <v>6</v>
      </c>
      <c r="I24" s="16"/>
      <c r="J24" s="31">
        <f t="shared" si="0"/>
        <v>0</v>
      </c>
      <c r="Q24" s="89"/>
      <c r="R24" s="92"/>
      <c r="S24" s="92"/>
      <c r="T24" s="92"/>
      <c r="U24" s="92"/>
    </row>
    <row r="25" spans="1:21" ht="19.5" customHeight="1">
      <c r="A25" s="84"/>
      <c r="B25" s="83" t="s">
        <v>485</v>
      </c>
      <c r="C25" s="77">
        <v>506011621696</v>
      </c>
      <c r="D25" s="138" t="s">
        <v>107</v>
      </c>
      <c r="E25" s="16" t="s">
        <v>183</v>
      </c>
      <c r="F25" s="31">
        <v>11.66</v>
      </c>
      <c r="G25" s="79">
        <v>28</v>
      </c>
      <c r="H25" s="206">
        <v>6</v>
      </c>
      <c r="I25" s="16"/>
      <c r="J25" s="31">
        <f t="shared" si="0"/>
        <v>0</v>
      </c>
      <c r="Q25" s="89"/>
      <c r="R25" s="92"/>
      <c r="S25" s="92"/>
      <c r="T25" s="92"/>
      <c r="U25" s="92"/>
    </row>
    <row r="26" spans="1:21" ht="94.2" customHeight="1">
      <c r="B26" s="24" t="s">
        <v>186</v>
      </c>
      <c r="C26" s="76" t="s">
        <v>187</v>
      </c>
      <c r="D26" s="138" t="s">
        <v>116</v>
      </c>
      <c r="E26" s="16" t="s">
        <v>182</v>
      </c>
      <c r="F26" s="31">
        <v>11.66</v>
      </c>
      <c r="G26" s="79">
        <v>28</v>
      </c>
      <c r="H26" s="206">
        <v>6</v>
      </c>
      <c r="I26" s="16"/>
      <c r="J26" s="31">
        <f t="shared" si="0"/>
        <v>0</v>
      </c>
      <c r="Q26" s="89"/>
      <c r="R26" s="92"/>
      <c r="S26" s="92"/>
      <c r="T26" s="92"/>
      <c r="U26" s="92"/>
    </row>
    <row r="27" spans="1:21" ht="16.95" customHeight="1">
      <c r="B27" s="24" t="s">
        <v>486</v>
      </c>
      <c r="C27" s="269">
        <v>5060111621689</v>
      </c>
      <c r="D27" s="138" t="s">
        <v>116</v>
      </c>
      <c r="E27" s="16" t="s">
        <v>183</v>
      </c>
      <c r="F27" s="31">
        <v>11.66</v>
      </c>
      <c r="G27" s="79">
        <v>28</v>
      </c>
      <c r="H27" s="206">
        <v>6</v>
      </c>
      <c r="I27" s="16"/>
      <c r="J27" s="31">
        <f t="shared" si="0"/>
        <v>0</v>
      </c>
      <c r="Q27" s="89"/>
      <c r="R27" s="92"/>
      <c r="S27" s="92"/>
      <c r="T27" s="92"/>
      <c r="U27" s="92"/>
    </row>
    <row r="28" spans="1:21" ht="99" customHeight="1">
      <c r="B28" s="83" t="s">
        <v>188</v>
      </c>
      <c r="C28" s="77" t="s">
        <v>189</v>
      </c>
      <c r="D28" s="138" t="s">
        <v>130</v>
      </c>
      <c r="E28" s="16" t="s">
        <v>182</v>
      </c>
      <c r="F28" s="31">
        <v>13.33</v>
      </c>
      <c r="G28" s="79">
        <v>32</v>
      </c>
      <c r="H28" s="206">
        <v>6</v>
      </c>
      <c r="I28" s="16"/>
      <c r="J28" s="31">
        <f t="shared" si="0"/>
        <v>0</v>
      </c>
      <c r="Q28" s="89"/>
      <c r="R28" s="92"/>
      <c r="S28" s="92"/>
      <c r="T28" s="92"/>
      <c r="U28" s="92"/>
    </row>
    <row r="29" spans="1:21">
      <c r="B29" s="83" t="s">
        <v>487</v>
      </c>
      <c r="C29" s="77">
        <v>5061011621719</v>
      </c>
      <c r="D29" s="138" t="s">
        <v>130</v>
      </c>
      <c r="E29" s="16" t="s">
        <v>183</v>
      </c>
      <c r="F29" s="31">
        <v>13.33</v>
      </c>
      <c r="G29" s="79">
        <v>32</v>
      </c>
      <c r="H29" s="206">
        <v>6</v>
      </c>
      <c r="I29" s="16"/>
      <c r="J29" s="31">
        <f t="shared" si="0"/>
        <v>0</v>
      </c>
      <c r="Q29" s="89"/>
      <c r="R29" s="92"/>
      <c r="S29" s="92"/>
      <c r="T29" s="92"/>
      <c r="U29" s="92"/>
    </row>
    <row r="30" spans="1:21" ht="89.7" customHeight="1">
      <c r="B30" s="24" t="str">
        <f ca="1">IFERROR(__xludf.DUMMYFUNCTION("""COMPUTED_VALUE"""),"PONCHK-SUM-SM-CSTCANDY")</f>
        <v>PONCHK-SUM-SM-CSTCANDY</v>
      </c>
      <c r="C30" s="76" t="str">
        <f ca="1">IFERROR(__xludf.DUMMYFUNCTION("""COMPUTED_VALUE"""),"5061011623997")</f>
        <v>5061011623997</v>
      </c>
      <c r="D30" s="138" t="s">
        <v>94</v>
      </c>
      <c r="E30" s="16" t="s">
        <v>182</v>
      </c>
      <c r="F30" s="31">
        <v>13.33</v>
      </c>
      <c r="G30" s="79">
        <v>32</v>
      </c>
      <c r="H30" s="206">
        <v>6</v>
      </c>
      <c r="I30" s="16"/>
      <c r="J30" s="31">
        <f t="shared" si="0"/>
        <v>0</v>
      </c>
      <c r="Q30" s="89"/>
      <c r="R30" s="92"/>
      <c r="S30" s="92"/>
      <c r="T30" s="92"/>
      <c r="U30" s="92"/>
    </row>
    <row r="31" spans="1:21">
      <c r="B31" s="24" t="s">
        <v>488</v>
      </c>
      <c r="C31" s="76">
        <v>5061011624048</v>
      </c>
      <c r="D31" s="138" t="s">
        <v>94</v>
      </c>
      <c r="E31" s="16" t="s">
        <v>183</v>
      </c>
      <c r="F31" s="31">
        <v>13.33</v>
      </c>
      <c r="G31" s="79">
        <v>32</v>
      </c>
      <c r="H31" s="206">
        <v>6</v>
      </c>
      <c r="I31" s="16"/>
      <c r="J31" s="31">
        <f t="shared" si="0"/>
        <v>0</v>
      </c>
      <c r="Q31" s="89"/>
      <c r="R31" s="92"/>
      <c r="S31" s="92"/>
      <c r="T31" s="92"/>
      <c r="U31" s="92"/>
    </row>
    <row r="32" spans="1:21" ht="118.2" customHeight="1">
      <c r="B32" s="178" t="s">
        <v>367</v>
      </c>
      <c r="C32" s="66" t="str">
        <f ca="1">IFERROR(__xludf.DUMMYFUNCTION("""COMPUTED_VALUE"""),"5061011625410")</f>
        <v>5061011625410</v>
      </c>
      <c r="D32" s="187" t="s">
        <v>303</v>
      </c>
      <c r="E32" s="16" t="s">
        <v>182</v>
      </c>
      <c r="F32" s="31">
        <v>13.33</v>
      </c>
      <c r="G32" s="79">
        <v>32</v>
      </c>
      <c r="H32" s="206">
        <v>6</v>
      </c>
      <c r="I32" s="16"/>
      <c r="J32" s="31">
        <f t="shared" si="0"/>
        <v>0</v>
      </c>
      <c r="K32" s="63"/>
      <c r="Q32" s="89"/>
      <c r="R32" s="92"/>
      <c r="S32" s="92"/>
      <c r="T32" s="92"/>
      <c r="U32" s="92"/>
    </row>
    <row r="33" spans="1:21" ht="27.45" customHeight="1">
      <c r="B33" s="178" t="s">
        <v>372</v>
      </c>
      <c r="C33" s="66" t="str">
        <f ca="1">IFERROR(__xludf.DUMMYFUNCTION("""COMPUTED_VALUE"""),"5061011625458")</f>
        <v>5061011625458</v>
      </c>
      <c r="D33" s="187" t="s">
        <v>303</v>
      </c>
      <c r="E33" s="16" t="s">
        <v>183</v>
      </c>
      <c r="F33" s="31">
        <v>13.33</v>
      </c>
      <c r="G33" s="79">
        <v>32</v>
      </c>
      <c r="H33" s="206">
        <v>6</v>
      </c>
      <c r="I33" s="16"/>
      <c r="J33" s="31">
        <f t="shared" si="0"/>
        <v>0</v>
      </c>
      <c r="K33" s="63"/>
      <c r="Q33" s="89"/>
      <c r="R33" s="92"/>
      <c r="S33" s="92"/>
      <c r="T33" s="92"/>
      <c r="U33" s="92"/>
    </row>
    <row r="34" spans="1:21" ht="113.7" customHeight="1">
      <c r="B34" s="178" t="s">
        <v>368</v>
      </c>
      <c r="C34" s="66" t="str">
        <f ca="1">IFERROR(__xludf.DUMMYFUNCTION("""COMPUTED_VALUE"""),"5061011625434")</f>
        <v>5061011625434</v>
      </c>
      <c r="D34" s="187" t="s">
        <v>299</v>
      </c>
      <c r="E34" s="16" t="s">
        <v>182</v>
      </c>
      <c r="F34" s="31">
        <v>13.33</v>
      </c>
      <c r="G34" s="79">
        <v>32</v>
      </c>
      <c r="H34" s="206">
        <v>6</v>
      </c>
      <c r="I34" s="16"/>
      <c r="J34" s="31">
        <f t="shared" ref="J34:J35" si="3">F34*I34</f>
        <v>0</v>
      </c>
      <c r="Q34" s="89"/>
      <c r="R34" s="92"/>
      <c r="S34" s="92"/>
      <c r="T34" s="92"/>
      <c r="U34" s="92"/>
    </row>
    <row r="35" spans="1:21">
      <c r="B35" s="178" t="s">
        <v>373</v>
      </c>
      <c r="C35" s="66" t="str">
        <f ca="1">IFERROR(__xludf.DUMMYFUNCTION("""COMPUTED_VALUE"""),"5061011625472")</f>
        <v>5061011625472</v>
      </c>
      <c r="D35" s="187" t="s">
        <v>299</v>
      </c>
      <c r="E35" s="16" t="s">
        <v>183</v>
      </c>
      <c r="F35" s="31">
        <v>13.33</v>
      </c>
      <c r="G35" s="79">
        <v>32</v>
      </c>
      <c r="H35" s="206">
        <v>6</v>
      </c>
      <c r="I35" s="16"/>
      <c r="J35" s="31">
        <f t="shared" si="3"/>
        <v>0</v>
      </c>
      <c r="Q35" s="89"/>
      <c r="R35" s="92"/>
      <c r="S35" s="92"/>
      <c r="T35" s="92"/>
      <c r="U35" s="92"/>
    </row>
    <row r="36" spans="1:21" ht="94.2" customHeight="1">
      <c r="B36" s="178" t="s">
        <v>369</v>
      </c>
      <c r="C36" s="66" t="str">
        <f ca="1">IFERROR(__xludf.DUMMYFUNCTION("""COMPUTED_VALUE"""),"5061011626189")</f>
        <v>5061011626189</v>
      </c>
      <c r="D36" s="187" t="s">
        <v>301</v>
      </c>
      <c r="E36" s="16" t="s">
        <v>182</v>
      </c>
      <c r="F36" s="31">
        <v>13.33</v>
      </c>
      <c r="G36" s="79">
        <v>32</v>
      </c>
      <c r="H36" s="206">
        <v>6</v>
      </c>
      <c r="I36" s="16"/>
      <c r="J36" s="31">
        <f t="shared" ref="J36:J37" si="4">F36*I36</f>
        <v>0</v>
      </c>
      <c r="Q36" s="89"/>
      <c r="R36" s="92"/>
      <c r="S36" s="92"/>
      <c r="T36" s="92"/>
      <c r="U36" s="92"/>
    </row>
    <row r="37" spans="1:21" ht="23.7" customHeight="1">
      <c r="B37" s="178" t="s">
        <v>374</v>
      </c>
      <c r="C37" s="66" t="str">
        <f ca="1">IFERROR(__xludf.DUMMYFUNCTION("""COMPUTED_VALUE"""),"5061011625441")</f>
        <v>5061011625441</v>
      </c>
      <c r="D37" s="187" t="s">
        <v>301</v>
      </c>
      <c r="E37" s="16" t="s">
        <v>183</v>
      </c>
      <c r="F37" s="31">
        <v>13.33</v>
      </c>
      <c r="G37" s="79">
        <v>32</v>
      </c>
      <c r="H37" s="206">
        <v>6</v>
      </c>
      <c r="I37" s="16"/>
      <c r="J37" s="31">
        <f t="shared" si="4"/>
        <v>0</v>
      </c>
      <c r="Q37" s="89"/>
      <c r="R37" s="92"/>
      <c r="S37" s="92"/>
      <c r="T37" s="92"/>
      <c r="U37" s="92"/>
    </row>
    <row r="38" spans="1:21" ht="94.2" customHeight="1">
      <c r="B38" s="178" t="s">
        <v>370</v>
      </c>
      <c r="C38" s="66" t="str">
        <f ca="1">IFERROR(__xludf.DUMMYFUNCTION("""COMPUTED_VALUE"""),"5061011626196")</f>
        <v>5061011626196</v>
      </c>
      <c r="D38" s="187" t="s">
        <v>295</v>
      </c>
      <c r="E38" s="16" t="s">
        <v>182</v>
      </c>
      <c r="F38" s="31">
        <v>13.33</v>
      </c>
      <c r="G38" s="79">
        <v>32</v>
      </c>
      <c r="H38" s="206">
        <v>6</v>
      </c>
      <c r="I38" s="16"/>
      <c r="J38" s="31">
        <f t="shared" ref="J38:J39" si="5">F38*I38</f>
        <v>0</v>
      </c>
      <c r="Q38" s="89"/>
      <c r="R38" s="92"/>
      <c r="S38" s="92"/>
      <c r="T38" s="92"/>
      <c r="U38" s="92"/>
    </row>
    <row r="39" spans="1:21" ht="23.7" customHeight="1">
      <c r="B39" s="178" t="s">
        <v>375</v>
      </c>
      <c r="C39" s="66" t="str">
        <f ca="1">IFERROR(__xludf.DUMMYFUNCTION("""COMPUTED_VALUE"""),"5061011626219")</f>
        <v>5061011626219</v>
      </c>
      <c r="D39" s="187" t="s">
        <v>295</v>
      </c>
      <c r="E39" s="16" t="s">
        <v>183</v>
      </c>
      <c r="F39" s="31">
        <v>13.33</v>
      </c>
      <c r="G39" s="79">
        <v>32</v>
      </c>
      <c r="H39" s="206">
        <v>6</v>
      </c>
      <c r="I39" s="16"/>
      <c r="J39" s="31">
        <f t="shared" si="5"/>
        <v>0</v>
      </c>
      <c r="Q39" s="89"/>
      <c r="R39" s="92"/>
      <c r="S39" s="92"/>
      <c r="T39" s="92"/>
      <c r="U39" s="92"/>
    </row>
    <row r="40" spans="1:21" ht="94.2" customHeight="1">
      <c r="B40" s="178" t="s">
        <v>371</v>
      </c>
      <c r="C40" s="66" t="str">
        <f ca="1">IFERROR(__xludf.DUMMYFUNCTION("""COMPUTED_VALUE"""),"5061011625427")</f>
        <v>5061011625427</v>
      </c>
      <c r="D40" s="187" t="s">
        <v>297</v>
      </c>
      <c r="E40" s="16" t="s">
        <v>182</v>
      </c>
      <c r="F40" s="31">
        <v>13.33</v>
      </c>
      <c r="G40" s="79">
        <v>32</v>
      </c>
      <c r="H40" s="206">
        <v>6</v>
      </c>
      <c r="I40" s="16"/>
      <c r="J40" s="31">
        <f t="shared" ref="J40:J41" si="6">F40*I40</f>
        <v>0</v>
      </c>
      <c r="Q40" s="89"/>
      <c r="R40" s="92"/>
      <c r="S40" s="92"/>
      <c r="T40" s="92"/>
      <c r="U40" s="92"/>
    </row>
    <row r="41" spans="1:21" ht="23.7" customHeight="1">
      <c r="B41" s="178" t="s">
        <v>376</v>
      </c>
      <c r="C41" s="66" t="str">
        <f ca="1">IFERROR(__xludf.DUMMYFUNCTION("""COMPUTED_VALUE"""),"5061011625465")</f>
        <v>5061011625465</v>
      </c>
      <c r="D41" s="187" t="s">
        <v>297</v>
      </c>
      <c r="E41" s="16" t="s">
        <v>183</v>
      </c>
      <c r="F41" s="31">
        <v>13.33</v>
      </c>
      <c r="G41" s="79">
        <v>32</v>
      </c>
      <c r="H41" s="206">
        <v>6</v>
      </c>
      <c r="I41" s="16"/>
      <c r="J41" s="31">
        <f t="shared" si="6"/>
        <v>0</v>
      </c>
      <c r="Q41" s="89"/>
      <c r="R41" s="92"/>
      <c r="S41" s="92"/>
      <c r="T41" s="92"/>
      <c r="U41" s="92"/>
    </row>
    <row r="42" spans="1:21" ht="43.5" customHeight="1">
      <c r="A42" s="85" t="s">
        <v>7</v>
      </c>
      <c r="B42" s="85"/>
      <c r="C42" s="86"/>
      <c r="D42" s="87"/>
      <c r="E42" s="87"/>
      <c r="F42" s="87"/>
      <c r="G42" s="88"/>
      <c r="H42" s="208"/>
      <c r="I42" s="85"/>
      <c r="J42" s="91">
        <f>SUM(J3:J41)</f>
        <v>0</v>
      </c>
      <c r="Q42" s="89"/>
      <c r="R42" s="92"/>
      <c r="S42" s="92"/>
      <c r="T42" s="92"/>
      <c r="U42" s="92"/>
    </row>
  </sheetData>
  <conditionalFormatting sqref="B26:C27">
    <cfRule type="expression" dxfId="6" priority="11">
      <formula>AND($F26&amp;$G26&lt;&gt;$F25&amp;$G25)</formula>
    </cfRule>
  </conditionalFormatting>
  <conditionalFormatting sqref="B30:C31 C32:C41">
    <cfRule type="expression" dxfId="5" priority="1">
      <formula>AND($F30&amp;$G30&lt;&gt;$F29&amp;$G29)</formula>
    </cfRule>
  </conditionalFormatting>
  <conditionalFormatting sqref="B15:D15">
    <cfRule type="expression" dxfId="4" priority="75">
      <formula>AND(#REF!&amp;$B15&lt;&gt;#REF!&amp;$B14)</formula>
    </cfRule>
  </conditionalFormatting>
  <conditionalFormatting sqref="B16:D16">
    <cfRule type="expression" dxfId="3" priority="61">
      <formula>AND(#REF!&amp;$B16&lt;&gt;#REF!&amp;#REF!)</formula>
    </cfRule>
  </conditionalFormatting>
  <conditionalFormatting sqref="D17">
    <cfRule type="expression" dxfId="2" priority="17">
      <formula>AND(#REF!&amp;$B17&lt;&gt;#REF!&amp;$B15)</formula>
    </cfRule>
  </conditionalFormatting>
  <conditionalFormatting sqref="D19:D20">
    <cfRule type="expression" dxfId="1" priority="15">
      <formula>AND(#REF!&amp;$B19&lt;&gt;#REF!&amp;$B17)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"/>
  <sheetViews>
    <sheetView topLeftCell="A9" zoomScale="96" zoomScaleNormal="63" workbookViewId="0">
      <selection activeCell="J16" sqref="J16"/>
    </sheetView>
  </sheetViews>
  <sheetFormatPr baseColWidth="10" defaultColWidth="11" defaultRowHeight="14.4"/>
  <cols>
    <col min="1" max="1" width="10.77734375" customWidth="1"/>
    <col min="2" max="2" width="23" style="37" customWidth="1"/>
    <col min="3" max="3" width="17.21875" style="37" customWidth="1"/>
    <col min="4" max="4" width="32.21875" style="38" customWidth="1"/>
    <col min="5" max="5" width="19.21875" style="37" customWidth="1"/>
    <col min="6" max="6" width="10.77734375" style="39"/>
    <col min="7" max="7" width="10.77734375" style="37"/>
    <col min="8" max="8" width="11" style="37"/>
    <col min="9" max="9" width="10.77734375" style="37"/>
    <col min="10" max="10" width="17.21875" style="37" customWidth="1"/>
    <col min="12" max="12" width="30.21875" customWidth="1"/>
    <col min="13" max="13" width="27.5546875" customWidth="1"/>
    <col min="14" max="14" width="19.77734375" customWidth="1"/>
    <col min="17" max="17" width="15" customWidth="1"/>
  </cols>
  <sheetData>
    <row r="1" spans="1:17" s="36" customFormat="1" ht="17.7" customHeight="1">
      <c r="A1" s="40"/>
      <c r="B1" s="41" t="s">
        <v>162</v>
      </c>
      <c r="C1" s="41" t="s">
        <v>1</v>
      </c>
      <c r="D1" s="41" t="s">
        <v>2</v>
      </c>
      <c r="E1" s="41" t="s">
        <v>3</v>
      </c>
      <c r="F1" s="42" t="s">
        <v>4</v>
      </c>
      <c r="G1" s="41" t="s">
        <v>5</v>
      </c>
      <c r="H1" s="210" t="s">
        <v>470</v>
      </c>
      <c r="I1" s="41" t="s">
        <v>6</v>
      </c>
      <c r="J1" s="41" t="s">
        <v>163</v>
      </c>
    </row>
    <row r="2" spans="1:17" s="36" customFormat="1" ht="17.7" customHeight="1">
      <c r="A2" s="43"/>
      <c r="B2" s="44" t="s">
        <v>190</v>
      </c>
      <c r="C2" s="44"/>
      <c r="D2" s="45"/>
      <c r="E2" s="45"/>
      <c r="F2" s="46"/>
      <c r="G2" s="45"/>
      <c r="H2" s="45"/>
      <c r="I2" s="45"/>
      <c r="J2" s="45"/>
    </row>
    <row r="3" spans="1:17" ht="52.5" customHeight="1">
      <c r="B3" s="177" t="s">
        <v>452</v>
      </c>
      <c r="C3" s="180" t="str">
        <f ca="1">IFERROR(__xludf.DUMMYFUNCTION("""COMPUTED_VALUE"""),"5061011628640")</f>
        <v>5061011628640</v>
      </c>
      <c r="D3" s="179" t="s">
        <v>444</v>
      </c>
      <c r="E3" s="47" t="s">
        <v>191</v>
      </c>
      <c r="F3" s="48">
        <v>12.5</v>
      </c>
      <c r="G3" s="49">
        <v>30</v>
      </c>
      <c r="H3" s="211">
        <v>6</v>
      </c>
      <c r="I3" s="47"/>
      <c r="J3" s="58">
        <f t="shared" ref="J3:J6" si="0">F3*I3</f>
        <v>0</v>
      </c>
    </row>
    <row r="4" spans="1:17" ht="17.7" customHeight="1">
      <c r="B4" s="177" t="s">
        <v>453</v>
      </c>
      <c r="C4" s="180" t="str">
        <f ca="1">IFERROR(__xludf.DUMMYFUNCTION("""COMPUTED_VALUE"""),"5061011628701")</f>
        <v>5061011628701</v>
      </c>
      <c r="D4" s="179" t="s">
        <v>444</v>
      </c>
      <c r="E4" s="47" t="s">
        <v>192</v>
      </c>
      <c r="F4" s="48">
        <v>14.16</v>
      </c>
      <c r="G4" s="49">
        <v>34</v>
      </c>
      <c r="H4" s="211">
        <v>6</v>
      </c>
      <c r="I4" s="47"/>
      <c r="J4" s="58">
        <f t="shared" si="0"/>
        <v>0</v>
      </c>
    </row>
    <row r="5" spans="1:17" ht="52.5" customHeight="1">
      <c r="B5" s="177" t="s">
        <v>446</v>
      </c>
      <c r="C5" s="180" t="str">
        <f ca="1">IFERROR(__xludf.DUMMYFUNCTION("""COMPUTED_VALUE"""),"5061011628657")</f>
        <v>5061011628657</v>
      </c>
      <c r="D5" s="179" t="s">
        <v>445</v>
      </c>
      <c r="E5" s="50" t="s">
        <v>191</v>
      </c>
      <c r="F5" s="51">
        <v>12.5</v>
      </c>
      <c r="G5" s="52">
        <v>30</v>
      </c>
      <c r="H5" s="211">
        <v>6</v>
      </c>
      <c r="I5" s="50"/>
      <c r="J5" s="59">
        <f t="shared" si="0"/>
        <v>0</v>
      </c>
      <c r="M5" s="60"/>
      <c r="N5" s="61"/>
      <c r="O5" s="61"/>
      <c r="P5" s="61"/>
      <c r="Q5" s="61"/>
    </row>
    <row r="6" spans="1:17" ht="17.7" customHeight="1">
      <c r="B6" s="177" t="s">
        <v>454</v>
      </c>
      <c r="C6" s="180" t="str">
        <f ca="1">IFERROR(__xludf.DUMMYFUNCTION("""COMPUTED_VALUE"""),"5061011628718")</f>
        <v>5061011628718</v>
      </c>
      <c r="D6" s="179" t="s">
        <v>445</v>
      </c>
      <c r="E6" s="50" t="s">
        <v>192</v>
      </c>
      <c r="F6" s="51">
        <v>14.16</v>
      </c>
      <c r="G6" s="52">
        <v>34</v>
      </c>
      <c r="H6" s="211">
        <v>6</v>
      </c>
      <c r="I6" s="50"/>
      <c r="J6" s="59">
        <f t="shared" si="0"/>
        <v>0</v>
      </c>
      <c r="M6" s="60"/>
      <c r="N6" s="61"/>
      <c r="O6" s="61"/>
      <c r="P6" s="61"/>
      <c r="Q6" s="61"/>
    </row>
    <row r="7" spans="1:17" ht="55.95" customHeight="1">
      <c r="B7" s="177" t="s">
        <v>455</v>
      </c>
      <c r="C7" s="180" t="str">
        <f ca="1">IFERROR(__xludf.DUMMYFUNCTION("""COMPUTED_VALUE"""),"5061011628688")</f>
        <v>5061011628688</v>
      </c>
      <c r="D7" s="179" t="s">
        <v>447</v>
      </c>
      <c r="E7" s="50" t="s">
        <v>191</v>
      </c>
      <c r="F7" s="51">
        <v>12.5</v>
      </c>
      <c r="G7" s="52">
        <v>30</v>
      </c>
      <c r="H7" s="211">
        <v>6</v>
      </c>
      <c r="I7" s="53"/>
      <c r="J7" s="59">
        <f t="shared" ref="J7:J14" si="1">F7*I7</f>
        <v>0</v>
      </c>
      <c r="M7" s="60"/>
      <c r="N7" s="61"/>
      <c r="O7" s="61"/>
      <c r="P7" s="61"/>
      <c r="Q7" s="61"/>
    </row>
    <row r="8" spans="1:17" ht="19.5" customHeight="1">
      <c r="B8" s="177" t="s">
        <v>456</v>
      </c>
      <c r="C8" s="180" t="str">
        <f ca="1">IFERROR(__xludf.DUMMYFUNCTION("""COMPUTED_VALUE"""),"5061011628749")</f>
        <v>5061011628749</v>
      </c>
      <c r="D8" s="179" t="s">
        <v>447</v>
      </c>
      <c r="E8" s="50" t="s">
        <v>192</v>
      </c>
      <c r="F8" s="51">
        <v>14.16</v>
      </c>
      <c r="G8" s="52">
        <v>34</v>
      </c>
      <c r="H8" s="211">
        <v>6</v>
      </c>
      <c r="I8" s="50"/>
      <c r="J8" s="59">
        <f t="shared" si="1"/>
        <v>0</v>
      </c>
      <c r="M8" s="60"/>
      <c r="N8" s="61"/>
      <c r="O8" s="61"/>
      <c r="P8" s="61"/>
      <c r="Q8" s="61"/>
    </row>
    <row r="9" spans="1:17" ht="68.7" customHeight="1">
      <c r="B9" s="177" t="s">
        <v>457</v>
      </c>
      <c r="C9" s="180" t="str">
        <f ca="1">IFERROR(__xludf.DUMMYFUNCTION("""COMPUTED_VALUE"""),"5061011628664")</f>
        <v>5061011628664</v>
      </c>
      <c r="D9" s="179" t="s">
        <v>448</v>
      </c>
      <c r="E9" s="50" t="s">
        <v>191</v>
      </c>
      <c r="F9" s="51">
        <v>12.5</v>
      </c>
      <c r="G9" s="52">
        <v>30</v>
      </c>
      <c r="H9" s="211">
        <v>6</v>
      </c>
      <c r="I9" s="50"/>
      <c r="J9" s="59">
        <f t="shared" si="1"/>
        <v>0</v>
      </c>
      <c r="M9" s="60"/>
      <c r="N9" s="61"/>
      <c r="O9" s="61"/>
      <c r="P9" s="61"/>
      <c r="Q9" s="61"/>
    </row>
    <row r="10" spans="1:17" ht="16.2" customHeight="1">
      <c r="B10" s="177" t="s">
        <v>458</v>
      </c>
      <c r="C10" s="180" t="str">
        <f ca="1">IFERROR(__xludf.DUMMYFUNCTION("""COMPUTED_VALUE"""),"5061011628725")</f>
        <v>5061011628725</v>
      </c>
      <c r="D10" s="179" t="s">
        <v>448</v>
      </c>
      <c r="E10" s="50" t="s">
        <v>192</v>
      </c>
      <c r="F10" s="51">
        <v>14.16</v>
      </c>
      <c r="G10" s="52">
        <v>34</v>
      </c>
      <c r="H10" s="211">
        <v>6</v>
      </c>
      <c r="I10" s="50"/>
      <c r="J10" s="59">
        <f t="shared" si="1"/>
        <v>0</v>
      </c>
      <c r="M10" s="60"/>
      <c r="N10" s="61"/>
      <c r="O10" s="61"/>
      <c r="P10" s="61"/>
      <c r="Q10" s="61"/>
    </row>
    <row r="11" spans="1:17" ht="52.95" customHeight="1">
      <c r="B11" s="177" t="s">
        <v>459</v>
      </c>
      <c r="C11" s="180" t="str">
        <f ca="1">IFERROR(__xludf.DUMMYFUNCTION("""COMPUTED_VALUE"""),"5061011628671")</f>
        <v>5061011628671</v>
      </c>
      <c r="D11" s="179" t="s">
        <v>449</v>
      </c>
      <c r="E11" s="50" t="s">
        <v>191</v>
      </c>
      <c r="F11" s="51">
        <v>12.5</v>
      </c>
      <c r="G11" s="52">
        <v>30</v>
      </c>
      <c r="H11" s="211">
        <v>6</v>
      </c>
      <c r="I11" s="50"/>
      <c r="J11" s="59">
        <f t="shared" ref="J11:J12" si="2">F11*I11</f>
        <v>0</v>
      </c>
      <c r="M11" s="60"/>
      <c r="N11" s="61"/>
      <c r="O11" s="61"/>
      <c r="P11" s="61"/>
      <c r="Q11" s="61"/>
    </row>
    <row r="12" spans="1:17" ht="17.7" customHeight="1">
      <c r="B12" s="177" t="s">
        <v>460</v>
      </c>
      <c r="C12" s="180" t="str">
        <f ca="1">IFERROR(__xludf.DUMMYFUNCTION("""COMPUTED_VALUE"""),"5061011628732")</f>
        <v>5061011628732</v>
      </c>
      <c r="D12" s="179" t="s">
        <v>449</v>
      </c>
      <c r="E12" s="50" t="s">
        <v>192</v>
      </c>
      <c r="F12" s="48">
        <v>14.16</v>
      </c>
      <c r="G12" s="49">
        <v>34</v>
      </c>
      <c r="H12" s="211">
        <v>6</v>
      </c>
      <c r="I12" s="47"/>
      <c r="J12" s="58">
        <f t="shared" si="2"/>
        <v>0</v>
      </c>
      <c r="M12" s="60"/>
      <c r="N12" s="61"/>
      <c r="O12" s="61"/>
      <c r="P12" s="61"/>
      <c r="Q12" s="61"/>
    </row>
    <row r="13" spans="1:17" ht="52.95" customHeight="1">
      <c r="B13" s="177" t="s">
        <v>451</v>
      </c>
      <c r="C13" s="180" t="str">
        <f ca="1">IFERROR(__xludf.DUMMYFUNCTION("""COMPUTED_VALUE"""),"5061011628633")</f>
        <v>5061011628633</v>
      </c>
      <c r="D13" s="179" t="s">
        <v>450</v>
      </c>
      <c r="E13" s="50" t="s">
        <v>191</v>
      </c>
      <c r="F13" s="51">
        <v>12.5</v>
      </c>
      <c r="G13" s="52">
        <v>30</v>
      </c>
      <c r="H13" s="211">
        <v>6</v>
      </c>
      <c r="I13" s="50"/>
      <c r="J13" s="59">
        <f t="shared" si="1"/>
        <v>0</v>
      </c>
      <c r="M13" s="60"/>
      <c r="N13" s="61"/>
      <c r="O13" s="61"/>
      <c r="P13" s="61"/>
      <c r="Q13" s="61"/>
    </row>
    <row r="14" spans="1:17" ht="17.7" customHeight="1">
      <c r="B14" s="177" t="s">
        <v>461</v>
      </c>
      <c r="C14" s="180" t="str">
        <f ca="1">IFERROR(__xludf.DUMMYFUNCTION("""COMPUTED_VALUE"""),"5061011628695")</f>
        <v>5061011628695</v>
      </c>
      <c r="D14" s="179" t="s">
        <v>450</v>
      </c>
      <c r="E14" s="50" t="s">
        <v>192</v>
      </c>
      <c r="F14" s="48">
        <v>14.16</v>
      </c>
      <c r="G14" s="49">
        <v>34</v>
      </c>
      <c r="H14" s="211">
        <v>6</v>
      </c>
      <c r="I14" s="47"/>
      <c r="J14" s="58">
        <f t="shared" si="1"/>
        <v>0</v>
      </c>
      <c r="M14" s="60"/>
      <c r="N14" s="61"/>
      <c r="O14" s="61"/>
      <c r="P14" s="61"/>
      <c r="Q14" s="61"/>
    </row>
    <row r="15" spans="1:17" ht="21">
      <c r="A15" s="54"/>
      <c r="B15" s="55" t="s">
        <v>7</v>
      </c>
      <c r="C15" s="55"/>
      <c r="D15" s="188"/>
      <c r="E15" s="56"/>
      <c r="F15" s="57"/>
      <c r="G15" s="56"/>
      <c r="H15" s="56"/>
      <c r="I15" s="56"/>
      <c r="J15" s="62">
        <f>SUM(J3:J14)</f>
        <v>0</v>
      </c>
      <c r="M15" s="60"/>
      <c r="N15" s="61"/>
      <c r="O15" s="61"/>
      <c r="P15" s="61"/>
      <c r="Q15" s="6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1"/>
  <sheetViews>
    <sheetView topLeftCell="A18" zoomScale="82" zoomScaleNormal="56" workbookViewId="0">
      <selection activeCell="J22" sqref="J22"/>
    </sheetView>
  </sheetViews>
  <sheetFormatPr baseColWidth="10" defaultColWidth="11" defaultRowHeight="18"/>
  <cols>
    <col min="2" max="2" width="20.77734375" style="7" customWidth="1"/>
    <col min="3" max="3" width="26.77734375" style="7" customWidth="1"/>
    <col min="4" max="4" width="21.21875" style="7" customWidth="1"/>
    <col min="5" max="5" width="26.21875" style="7" customWidth="1"/>
    <col min="6" max="6" width="11.77734375" style="8" customWidth="1"/>
    <col min="7" max="7" width="12.21875" style="7" customWidth="1"/>
    <col min="8" max="8" width="14.77734375" style="9" customWidth="1"/>
    <col min="9" max="9" width="14.21875" style="9" customWidth="1"/>
    <col min="10" max="10" width="14" style="9" customWidth="1"/>
    <col min="13" max="13" width="24.5546875" customWidth="1"/>
    <col min="14" max="14" width="20" customWidth="1"/>
    <col min="15" max="15" width="24" customWidth="1"/>
  </cols>
  <sheetData>
    <row r="1" spans="1:16">
      <c r="B1" s="10" t="s">
        <v>162</v>
      </c>
      <c r="C1" s="10" t="s">
        <v>1</v>
      </c>
      <c r="D1" s="10" t="s">
        <v>2</v>
      </c>
      <c r="E1" s="10" t="s">
        <v>3</v>
      </c>
      <c r="F1" s="8" t="s">
        <v>4</v>
      </c>
      <c r="G1" s="10" t="s">
        <v>5</v>
      </c>
      <c r="H1" s="11" t="s">
        <v>470</v>
      </c>
      <c r="I1" s="11" t="s">
        <v>6</v>
      </c>
      <c r="J1" s="11" t="s">
        <v>163</v>
      </c>
      <c r="O1" s="29"/>
      <c r="P1" s="29"/>
    </row>
    <row r="2" spans="1:16" s="1" customFormat="1">
      <c r="A2" s="12"/>
      <c r="B2" s="13" t="s">
        <v>193</v>
      </c>
      <c r="C2" s="13"/>
      <c r="D2" s="13"/>
      <c r="E2" s="13"/>
      <c r="F2" s="14"/>
      <c r="G2" s="13"/>
      <c r="H2" s="212"/>
      <c r="I2" s="15"/>
      <c r="J2" s="15"/>
      <c r="O2" s="30"/>
      <c r="P2" s="30"/>
    </row>
    <row r="3" spans="1:16" ht="54" customHeight="1">
      <c r="B3" s="16" t="s">
        <v>195</v>
      </c>
      <c r="C3" s="16" t="s">
        <v>196</v>
      </c>
      <c r="D3" s="16" t="s">
        <v>197</v>
      </c>
      <c r="E3" s="16" t="s">
        <v>198</v>
      </c>
      <c r="F3" s="17">
        <v>12.5</v>
      </c>
      <c r="G3" s="18">
        <v>30</v>
      </c>
      <c r="H3" s="202">
        <v>6</v>
      </c>
      <c r="I3" s="7"/>
      <c r="J3" s="31">
        <f t="shared" ref="J3:J20" si="0">I3*G3</f>
        <v>0</v>
      </c>
    </row>
    <row r="4" spans="1:16">
      <c r="B4" s="16" t="s">
        <v>199</v>
      </c>
      <c r="C4" s="16" t="s">
        <v>200</v>
      </c>
      <c r="D4" s="16" t="s">
        <v>194</v>
      </c>
      <c r="E4" s="16" t="s">
        <v>17</v>
      </c>
      <c r="F4" s="17">
        <v>14.16</v>
      </c>
      <c r="G4" s="18">
        <v>34</v>
      </c>
      <c r="H4" s="202">
        <v>6</v>
      </c>
      <c r="I4" s="7"/>
      <c r="J4" s="31">
        <f>I4*G4</f>
        <v>0</v>
      </c>
    </row>
    <row r="5" spans="1:16" ht="50.55" customHeight="1">
      <c r="A5" s="1"/>
      <c r="B5" s="16" t="s">
        <v>202</v>
      </c>
      <c r="C5" s="16" t="s">
        <v>203</v>
      </c>
      <c r="D5" s="7" t="s">
        <v>204</v>
      </c>
      <c r="E5" s="16" t="s">
        <v>198</v>
      </c>
      <c r="F5" s="17">
        <v>12.5</v>
      </c>
      <c r="G5" s="18">
        <v>30</v>
      </c>
      <c r="H5" s="202">
        <v>6</v>
      </c>
      <c r="I5" s="16"/>
      <c r="J5" s="31">
        <f t="shared" si="0"/>
        <v>0</v>
      </c>
    </row>
    <row r="6" spans="1:16">
      <c r="A6" s="1"/>
      <c r="B6" s="16" t="s">
        <v>205</v>
      </c>
      <c r="C6" s="16" t="s">
        <v>206</v>
      </c>
      <c r="D6" s="7" t="s">
        <v>201</v>
      </c>
      <c r="E6" s="16" t="s">
        <v>17</v>
      </c>
      <c r="F6" s="17">
        <v>14.16</v>
      </c>
      <c r="G6" s="18">
        <v>34</v>
      </c>
      <c r="H6" s="202">
        <v>6</v>
      </c>
      <c r="I6" s="16"/>
      <c r="J6" s="31">
        <f t="shared" si="0"/>
        <v>0</v>
      </c>
    </row>
    <row r="7" spans="1:16" ht="54.6" customHeight="1">
      <c r="B7" s="16" t="s">
        <v>208</v>
      </c>
      <c r="C7" s="16" t="s">
        <v>209</v>
      </c>
      <c r="D7" s="7" t="s">
        <v>210</v>
      </c>
      <c r="E7" s="16" t="s">
        <v>198</v>
      </c>
      <c r="F7" s="17">
        <v>12.5</v>
      </c>
      <c r="G7" s="18">
        <v>30</v>
      </c>
      <c r="H7" s="202">
        <v>6</v>
      </c>
      <c r="I7" s="7"/>
      <c r="J7" s="31">
        <f t="shared" si="0"/>
        <v>0</v>
      </c>
    </row>
    <row r="8" spans="1:16" ht="24" customHeight="1">
      <c r="B8" s="16" t="s">
        <v>211</v>
      </c>
      <c r="C8" s="16" t="s">
        <v>212</v>
      </c>
      <c r="D8" s="7" t="s">
        <v>207</v>
      </c>
      <c r="E8" s="16" t="s">
        <v>17</v>
      </c>
      <c r="F8" s="17">
        <v>14.16</v>
      </c>
      <c r="G8" s="18">
        <v>34</v>
      </c>
      <c r="H8" s="202">
        <v>6</v>
      </c>
      <c r="I8" s="7"/>
      <c r="J8" s="31">
        <f t="shared" si="0"/>
        <v>0</v>
      </c>
    </row>
    <row r="9" spans="1:16" ht="48" customHeight="1">
      <c r="B9" s="16" t="s">
        <v>213</v>
      </c>
      <c r="C9" s="16" t="s">
        <v>214</v>
      </c>
      <c r="D9" s="16" t="s">
        <v>215</v>
      </c>
      <c r="E9" s="16" t="s">
        <v>198</v>
      </c>
      <c r="F9" s="17">
        <v>12.5</v>
      </c>
      <c r="G9" s="18">
        <v>30</v>
      </c>
      <c r="H9" s="202">
        <v>6</v>
      </c>
      <c r="I9" s="7"/>
      <c r="J9" s="31">
        <f t="shared" si="0"/>
        <v>0</v>
      </c>
    </row>
    <row r="10" spans="1:16">
      <c r="B10" s="16" t="s">
        <v>216</v>
      </c>
      <c r="C10" s="16" t="s">
        <v>217</v>
      </c>
      <c r="D10" s="16" t="s">
        <v>218</v>
      </c>
      <c r="E10" s="16" t="s">
        <v>17</v>
      </c>
      <c r="F10" s="17">
        <v>14.16</v>
      </c>
      <c r="G10" s="18">
        <v>34</v>
      </c>
      <c r="H10" s="202">
        <v>6</v>
      </c>
      <c r="I10" s="7"/>
      <c r="J10" s="31">
        <f t="shared" si="0"/>
        <v>0</v>
      </c>
    </row>
    <row r="11" spans="1:16" ht="51.6" customHeight="1">
      <c r="B11" s="16" t="s">
        <v>220</v>
      </c>
      <c r="C11" s="16" t="s">
        <v>221</v>
      </c>
      <c r="D11" s="16" t="s">
        <v>222</v>
      </c>
      <c r="E11" s="16" t="s">
        <v>198</v>
      </c>
      <c r="F11" s="17">
        <v>12.5</v>
      </c>
      <c r="G11" s="18">
        <v>30</v>
      </c>
      <c r="H11" s="202">
        <v>6</v>
      </c>
      <c r="I11" s="7"/>
      <c r="J11" s="31">
        <f t="shared" si="0"/>
        <v>0</v>
      </c>
    </row>
    <row r="12" spans="1:16">
      <c r="B12" s="16" t="s">
        <v>223</v>
      </c>
      <c r="C12" s="16" t="s">
        <v>224</v>
      </c>
      <c r="D12" s="16" t="s">
        <v>219</v>
      </c>
      <c r="E12" s="16" t="s">
        <v>17</v>
      </c>
      <c r="F12" s="17">
        <v>14.16</v>
      </c>
      <c r="G12" s="18">
        <v>34</v>
      </c>
      <c r="H12" s="202">
        <v>6</v>
      </c>
      <c r="I12" s="7"/>
      <c r="J12" s="31">
        <f t="shared" si="0"/>
        <v>0</v>
      </c>
    </row>
    <row r="13" spans="1:16" ht="49.2" customHeight="1">
      <c r="B13" s="16" t="s">
        <v>225</v>
      </c>
      <c r="C13" s="16" t="s">
        <v>226</v>
      </c>
      <c r="D13" s="16" t="s">
        <v>227</v>
      </c>
      <c r="E13" s="16" t="s">
        <v>198</v>
      </c>
      <c r="F13" s="17">
        <v>12.5</v>
      </c>
      <c r="G13" s="18">
        <v>30</v>
      </c>
      <c r="H13" s="202">
        <v>6</v>
      </c>
      <c r="I13" s="7"/>
      <c r="J13" s="31">
        <f t="shared" si="0"/>
        <v>0</v>
      </c>
    </row>
    <row r="14" spans="1:16">
      <c r="B14" s="16" t="s">
        <v>228</v>
      </c>
      <c r="C14" s="16" t="s">
        <v>229</v>
      </c>
      <c r="D14" s="16" t="s">
        <v>227</v>
      </c>
      <c r="E14" s="16" t="s">
        <v>17</v>
      </c>
      <c r="F14" s="17">
        <v>14.16</v>
      </c>
      <c r="G14" s="18">
        <v>34</v>
      </c>
      <c r="H14" s="202">
        <v>6</v>
      </c>
      <c r="I14" s="7"/>
      <c r="J14" s="31">
        <f t="shared" si="0"/>
        <v>0</v>
      </c>
    </row>
    <row r="15" spans="1:16" s="6" customFormat="1">
      <c r="A15" s="19"/>
      <c r="B15" s="13" t="s">
        <v>230</v>
      </c>
      <c r="C15" s="15"/>
      <c r="D15" s="13"/>
      <c r="E15" s="13"/>
      <c r="F15" s="20"/>
      <c r="G15" s="21"/>
      <c r="H15" s="213"/>
      <c r="I15" s="13"/>
      <c r="J15" s="32"/>
      <c r="O15" s="1"/>
      <c r="P15" s="1"/>
    </row>
    <row r="16" spans="1:16" ht="79.2" customHeight="1">
      <c r="B16" s="16" t="s">
        <v>231</v>
      </c>
      <c r="C16" s="16" t="s">
        <v>232</v>
      </c>
      <c r="D16" s="7" t="s">
        <v>233</v>
      </c>
      <c r="E16" s="16" t="s">
        <v>234</v>
      </c>
      <c r="F16" s="17">
        <v>9.16</v>
      </c>
      <c r="G16" s="18">
        <v>22</v>
      </c>
      <c r="H16" s="202">
        <v>6</v>
      </c>
      <c r="I16" s="7"/>
      <c r="J16" s="31">
        <f t="shared" si="0"/>
        <v>0</v>
      </c>
    </row>
    <row r="17" spans="1:17" ht="85.5" customHeight="1">
      <c r="B17" s="16" t="s">
        <v>235</v>
      </c>
      <c r="C17" s="16" t="s">
        <v>236</v>
      </c>
      <c r="D17" s="7" t="s">
        <v>237</v>
      </c>
      <c r="E17" s="16" t="s">
        <v>234</v>
      </c>
      <c r="F17" s="17">
        <v>9.16</v>
      </c>
      <c r="G17" s="18">
        <v>22</v>
      </c>
      <c r="H17" s="202">
        <v>6</v>
      </c>
      <c r="I17" s="7"/>
      <c r="J17" s="31">
        <f t="shared" si="0"/>
        <v>0</v>
      </c>
      <c r="M17" s="33"/>
      <c r="N17" s="34"/>
      <c r="O17" s="34"/>
      <c r="P17" s="34"/>
      <c r="Q17" s="34"/>
    </row>
    <row r="18" spans="1:17" ht="81.45" customHeight="1">
      <c r="B18" s="22" t="s">
        <v>238</v>
      </c>
      <c r="C18" s="23">
        <v>5060668838174</v>
      </c>
      <c r="D18" s="7" t="s">
        <v>107</v>
      </c>
      <c r="E18" s="16" t="s">
        <v>234</v>
      </c>
      <c r="F18" s="17">
        <v>9.16</v>
      </c>
      <c r="G18" s="18">
        <v>22</v>
      </c>
      <c r="H18" s="202">
        <v>6</v>
      </c>
      <c r="I18" s="7"/>
      <c r="J18" s="31">
        <f t="shared" si="0"/>
        <v>0</v>
      </c>
      <c r="M18" s="33"/>
      <c r="N18" s="34"/>
      <c r="O18" s="34"/>
      <c r="P18" s="34"/>
      <c r="Q18" s="34"/>
    </row>
    <row r="19" spans="1:17" ht="84.45" customHeight="1">
      <c r="B19" s="24" t="str">
        <f ca="1">IFERROR(__xludf.DUMMYFUNCTION("""COMPUTED_VALUE"""),"COOL-DES-SUNSRUN")</f>
        <v>COOL-DES-SUNSRUN</v>
      </c>
      <c r="C19" s="24" t="str">
        <f ca="1">IFERROR(__xludf.DUMMYFUNCTION("""COMPUTED_VALUE"""),"5061011624093")</f>
        <v>5061011624093</v>
      </c>
      <c r="D19" s="7" t="s">
        <v>239</v>
      </c>
      <c r="E19" s="16" t="s">
        <v>234</v>
      </c>
      <c r="F19" s="17">
        <v>9.16</v>
      </c>
      <c r="G19" s="18">
        <v>22</v>
      </c>
      <c r="H19" s="202">
        <v>6</v>
      </c>
      <c r="I19" s="7"/>
      <c r="J19" s="31">
        <f t="shared" si="0"/>
        <v>0</v>
      </c>
      <c r="M19" s="33"/>
      <c r="N19" s="34"/>
      <c r="O19" s="34"/>
      <c r="P19" s="34"/>
      <c r="Q19" s="34"/>
    </row>
    <row r="20" spans="1:17" ht="79.2" customHeight="1">
      <c r="B20" s="24" t="str">
        <f ca="1">IFERROR(__xludf.DUMMYFUNCTION("""COMPUTED_VALUE"""),"COOL-DES-MIDNMOV")</f>
        <v>COOL-DES-MIDNMOV</v>
      </c>
      <c r="C20" s="24" t="str">
        <f ca="1">IFERROR(__xludf.DUMMYFUNCTION("""COMPUTED_VALUE"""),"5061011624109")</f>
        <v>5061011624109</v>
      </c>
      <c r="D20" s="7" t="s">
        <v>240</v>
      </c>
      <c r="E20" s="16" t="s">
        <v>234</v>
      </c>
      <c r="F20" s="17">
        <v>9.16</v>
      </c>
      <c r="G20" s="18">
        <v>22</v>
      </c>
      <c r="H20" s="202">
        <v>6</v>
      </c>
      <c r="I20" s="7"/>
      <c r="J20" s="31">
        <f t="shared" si="0"/>
        <v>0</v>
      </c>
      <c r="M20" s="33"/>
      <c r="N20" s="34"/>
      <c r="O20" s="34"/>
      <c r="P20" s="34"/>
      <c r="Q20" s="34"/>
    </row>
    <row r="21" spans="1:17" ht="41.7" customHeight="1">
      <c r="A21" s="25" t="s">
        <v>7</v>
      </c>
      <c r="B21" s="26"/>
      <c r="C21" s="26"/>
      <c r="D21" s="26"/>
      <c r="E21" s="26"/>
      <c r="F21" s="27"/>
      <c r="G21" s="26"/>
      <c r="H21" s="28"/>
      <c r="I21" s="28"/>
      <c r="J21" s="35">
        <f>SUM(J3:J20)</f>
        <v>0</v>
      </c>
    </row>
  </sheetData>
  <conditionalFormatting sqref="B19:C20">
    <cfRule type="expression" dxfId="0" priority="1">
      <formula>AND($F19&amp;$G19&lt;&gt;$F18&amp;$G18)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03"/>
  <sheetViews>
    <sheetView tabSelected="1" zoomScale="82" zoomScaleNormal="40" workbookViewId="0">
      <selection activeCell="J10" sqref="J10"/>
    </sheetView>
  </sheetViews>
  <sheetFormatPr baseColWidth="10" defaultColWidth="10.77734375" defaultRowHeight="14.4"/>
  <cols>
    <col min="1" max="1" width="21.21875" style="1" customWidth="1"/>
    <col min="2" max="2" width="22.44140625" style="2" customWidth="1"/>
    <col min="3" max="3" width="29.21875" style="1" customWidth="1"/>
    <col min="4" max="4" width="13.77734375" style="1" customWidth="1"/>
    <col min="5" max="16384" width="10.77734375" style="1"/>
  </cols>
  <sheetData>
    <row r="2" spans="1:14">
      <c r="A2" s="3" t="s">
        <v>241</v>
      </c>
      <c r="D2" s="2"/>
      <c r="E2" s="2"/>
      <c r="F2" s="2"/>
    </row>
    <row r="3" spans="1:14" ht="89.7" customHeight="1">
      <c r="D3" s="4"/>
      <c r="F3" s="5"/>
    </row>
    <row r="4" spans="1:14" ht="106.5" customHeight="1">
      <c r="D4" s="4"/>
      <c r="F4" s="5"/>
    </row>
    <row r="5" spans="1:14" ht="158.55000000000001" customHeight="1">
      <c r="D5" s="4"/>
      <c r="F5" s="5"/>
      <c r="N5" s="197" t="s">
        <v>464</v>
      </c>
    </row>
    <row r="6" spans="1:14" ht="28.5" customHeight="1">
      <c r="A6" s="3" t="s">
        <v>242</v>
      </c>
      <c r="D6" s="4"/>
      <c r="F6" s="5"/>
    </row>
    <row r="7" spans="1:14" ht="3.6" customHeight="1">
      <c r="D7" s="4"/>
      <c r="F7" s="5"/>
    </row>
    <row r="8" spans="1:14" ht="67.5" customHeight="1">
      <c r="D8" s="4"/>
      <c r="F8" s="5"/>
    </row>
    <row r="9" spans="1:14" ht="76.5" customHeight="1">
      <c r="D9" s="4"/>
      <c r="F9" s="5"/>
    </row>
    <row r="10" spans="1:14" ht="95.55" customHeight="1">
      <c r="D10" s="4"/>
      <c r="F10" s="5"/>
    </row>
    <row r="11" spans="1:14" ht="24.6" customHeight="1">
      <c r="A11" s="3"/>
      <c r="D11" s="4"/>
      <c r="F11" s="5"/>
    </row>
    <row r="12" spans="1:14" ht="81.45" customHeight="1">
      <c r="F12" s="5"/>
    </row>
    <row r="13" spans="1:14" ht="19.95" customHeight="1">
      <c r="A13" s="3"/>
      <c r="D13" s="4"/>
      <c r="F13" s="5"/>
    </row>
    <row r="14" spans="1:14" ht="91.2" customHeight="1">
      <c r="D14" s="4"/>
      <c r="F14" s="5"/>
    </row>
    <row r="15" spans="1:14" ht="83.7" customHeight="1">
      <c r="D15" s="4"/>
      <c r="F15" s="5"/>
    </row>
    <row r="17" spans="1:6">
      <c r="A17" s="2"/>
      <c r="F17" s="4"/>
    </row>
    <row r="36" spans="1:1">
      <c r="A36" s="3"/>
    </row>
    <row r="46" spans="1:1">
      <c r="A46" s="3"/>
    </row>
    <row r="103" spans="1:1">
      <c r="A103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7AB7F31B0E7D479609AF646AE2AD26" ma:contentTypeVersion="17" ma:contentTypeDescription="Crée un document." ma:contentTypeScope="" ma:versionID="fd1a3f5f472d7f38b13b9039b45d95c3">
  <xsd:schema xmlns:xsd="http://www.w3.org/2001/XMLSchema" xmlns:xs="http://www.w3.org/2001/XMLSchema" xmlns:p="http://schemas.microsoft.com/office/2006/metadata/properties" xmlns:ns2="2683088b-0011-4890-a6f3-175e971b783e" xmlns:ns3="c1e26948-d367-4711-9c68-10ded460dcb9" targetNamespace="http://schemas.microsoft.com/office/2006/metadata/properties" ma:root="true" ma:fieldsID="7870c7edb11e04ca3257f5030ccdfaf3" ns2:_="" ns3:_="">
    <xsd:import namespace="2683088b-0011-4890-a6f3-175e971b783e"/>
    <xsd:import namespace="c1e26948-d367-4711-9c68-10ded460d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3:TaxCatchAll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3088b-0011-4890-a6f3-175e971b7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63898ed-6fa1-428d-8bc0-366e8aeb7a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26948-d367-4711-9c68-10ded460dcb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22a088a-8954-41eb-9068-f8bbad73442e}" ma:internalName="TaxCatchAll" ma:showField="CatchAllData" ma:web="c1e26948-d367-4711-9c68-10ded460dc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e26948-d367-4711-9c68-10ded460dcb9" xsi:nil="true"/>
    <lcf76f155ced4ddcb4097134ff3c332f xmlns="2683088b-0011-4890-a6f3-175e971b78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A24E6C-3E87-412A-B806-29AE681F7D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8EB70D-5504-4FED-BEC8-1D74DDF49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83088b-0011-4890-a6f3-175e971b783e"/>
    <ds:schemaRef ds:uri="c1e26948-d367-4711-9c68-10ded460dc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734D6D-09B7-4863-B31D-7A34072A66A4}">
  <ds:schemaRefs>
    <ds:schemaRef ds:uri="http://schemas.microsoft.com/office/2006/metadata/properties"/>
    <ds:schemaRef ds:uri="http://schemas.microsoft.com/office/infopath/2007/PartnerControls"/>
    <ds:schemaRef ds:uri="c1e26948-d367-4711-9c68-10ded460dcb9"/>
    <ds:schemaRef ds:uri="2683088b-0011-4890-a6f3-175e971b78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VOYAGE</vt:lpstr>
      <vt:lpstr>MAISON</vt:lpstr>
      <vt:lpstr>ENFANTS</vt:lpstr>
      <vt:lpstr>CHIENS</vt:lpstr>
      <vt:lpstr>SPORT</vt:lpstr>
      <vt:lpstr>DISPLAY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Sakina Chennoufi</dc:creator>
  <cp:lastModifiedBy>Kenza Bricha</cp:lastModifiedBy>
  <cp:lastPrinted>2022-08-29T10:50:00Z</cp:lastPrinted>
  <dcterms:created xsi:type="dcterms:W3CDTF">2021-12-02T14:48:00Z</dcterms:created>
  <dcterms:modified xsi:type="dcterms:W3CDTF">2026-03-26T14:35:35Z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6A3A5B7D59F948589057CD7F160EE396_12</vt:lpwstr>
  </property>
  <property fmtid="{D5CDD505-2E9C-101B-9397-08002B2CF9AE}" pid="3" name="KSOProductBuildVer">
    <vt:lpwstr>1036-12.2.0.20326</vt:lpwstr>
  </property>
  <property fmtid="{D5CDD505-2E9C-101B-9397-08002B2CF9AE}" pid="4" name="ContentTypeId">
    <vt:lpwstr>0x010100157AB7F31B0E7D479609AF646AE2AD26</vt:lpwstr>
  </property>
  <property fmtid="{D5CDD505-2E9C-101B-9397-08002B2CF9AE}" pid="5" name="Order">
    <vt:r8>1990400</vt:r8>
  </property>
  <property fmtid="{D5CDD505-2E9C-101B-9397-08002B2CF9AE}" pid="6" name="MediaServiceImageTags">
    <vt:lpwstr/>
  </property>
</Properties>
</file>